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doromania-my.sharepoint.com/personal/cristian_iliescu_bdo_ro/Documents/_Lucrari in curs/FRF_23/"/>
    </mc:Choice>
  </mc:AlternateContent>
  <xr:revisionPtr revIDLastSave="2193" documentId="8_{961F85F5-0A21-4F13-BA08-A7472828B9C5}" xr6:coauthVersionLast="47" xr6:coauthVersionMax="47" xr10:uidLastSave="{C2CD5FC3-FC45-4E0F-A8BB-B678B76503B9}"/>
  <bookViews>
    <workbookView xWindow="-28920" yWindow="-120" windowWidth="29040" windowHeight="15840" tabRatio="808" activeTab="6" xr2:uid="{A30C9C17-88FD-4BA8-9368-A8401819328D}"/>
  </bookViews>
  <sheets>
    <sheet name="CPP_20-22" sheetId="5" r:id="rId1"/>
    <sheet name="BS_20-22" sheetId="6" r:id="rId2"/>
    <sheet name="Venituri nete_20-22" sheetId="3" r:id="rId3"/>
    <sheet name="Abaterea Acceptabila_J.6" sheetId="8" r:id="rId4"/>
    <sheet name="Regula Veniturilor Nete" sheetId="7" r:id="rId5"/>
    <sheet name="Controlul costurilor" sheetId="9" r:id="rId6"/>
    <sheet name="Info Beneficii angajati" sheetId="10" r:id="rId7"/>
  </sheets>
  <definedNames>
    <definedName name="____IV130000" localSheetId="2">#REF!</definedName>
    <definedName name="____IV130000">#REF!</definedName>
    <definedName name="____IV176000" localSheetId="2">#REF!</definedName>
    <definedName name="____IV176000">#REF!</definedName>
    <definedName name="____IV66000" localSheetId="2">#REF!</definedName>
    <definedName name="____IV66000">#REF!</definedName>
    <definedName name="____IV70000" localSheetId="2">#REF!</definedName>
    <definedName name="____IV70000">#REF!</definedName>
    <definedName name="__IV130000" localSheetId="2">#REF!</definedName>
    <definedName name="__IV130000">#REF!</definedName>
    <definedName name="__IV176000" localSheetId="2">#REF!</definedName>
    <definedName name="__IV176000">#REF!</definedName>
    <definedName name="__IV66000" localSheetId="2">#REF!</definedName>
    <definedName name="__IV66000">#REF!</definedName>
    <definedName name="__IV70000" localSheetId="2">#REF!</definedName>
    <definedName name="__IV70000">#REF!</definedName>
    <definedName name="_xlnm._FilterDatabase" localSheetId="2" hidden="1">'Venituri nete_20-22'!$B$3:$H$135</definedName>
    <definedName name="_IV130000" localSheetId="2">#REF!</definedName>
    <definedName name="_IV130000">#REF!</definedName>
    <definedName name="_IV176000" localSheetId="2">#REF!</definedName>
    <definedName name="_IV176000">#REF!</definedName>
    <definedName name="_IV66000" localSheetId="2">#REF!</definedName>
    <definedName name="_IV66000">#REF!</definedName>
    <definedName name="_IV70000" localSheetId="2">#REF!</definedName>
    <definedName name="_IV70000">#REF!</definedName>
    <definedName name="CF">#REF!</definedName>
    <definedName name="CFR">#REF!</definedName>
    <definedName name="CVBH">#REF!</definedName>
    <definedName name="_xlnm.Print_Area" localSheetId="3">'Abaterea Acceptabila_J.6'!$B$2:$D$35</definedName>
    <definedName name="_xlnm.Print_Area" localSheetId="1">'BS_20-22'!$B$1:$F$58</definedName>
    <definedName name="_xlnm.Print_Area" localSheetId="5">'Controlul costurilor'!$B$1:$C$18</definedName>
    <definedName name="_xlnm.Print_Area" localSheetId="0">'CPP_20-22'!$B$1:$F$131</definedName>
    <definedName name="_xlnm.Print_Area" localSheetId="4">'Regula Veniturilor Nete'!$B$1:$C$32</definedName>
    <definedName name="_xlnm.Print_Area" localSheetId="2">'Venituri nete_20-22'!$B$2:$H$135</definedName>
    <definedName name="S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0" l="1"/>
  <c r="G47" i="10"/>
  <c r="F47" i="10"/>
  <c r="H46" i="10"/>
  <c r="G46" i="10"/>
  <c r="F46" i="10"/>
  <c r="H43" i="10"/>
  <c r="H44" i="10" s="1"/>
  <c r="G43" i="10"/>
  <c r="G44" i="10" s="1"/>
  <c r="F43" i="10"/>
  <c r="F44" i="10" s="1"/>
  <c r="H36" i="10"/>
  <c r="H37" i="10" s="1"/>
  <c r="G36" i="10"/>
  <c r="G37" i="10" s="1"/>
  <c r="F36" i="10"/>
  <c r="F37" i="10" s="1"/>
  <c r="H28" i="10"/>
  <c r="H29" i="10" s="1"/>
  <c r="G28" i="10"/>
  <c r="G29" i="10" s="1"/>
  <c r="F28" i="10"/>
  <c r="F29" i="10" s="1"/>
  <c r="H19" i="10"/>
  <c r="G19" i="10"/>
  <c r="F19" i="10"/>
  <c r="H12" i="10"/>
  <c r="G12" i="10"/>
  <c r="F12" i="10"/>
  <c r="H21" i="10" l="1"/>
  <c r="H22" i="10" s="1"/>
  <c r="F21" i="10"/>
  <c r="F22" i="10" s="1"/>
  <c r="G21" i="10"/>
  <c r="G22" i="10" s="1"/>
  <c r="H30" i="10"/>
  <c r="F30" i="10"/>
  <c r="G30" i="10"/>
  <c r="D66" i="6" l="1"/>
  <c r="D65" i="6"/>
  <c r="D64" i="6"/>
  <c r="D63" i="6"/>
  <c r="D62" i="6"/>
  <c r="C5" i="9"/>
  <c r="C14" i="7"/>
  <c r="C21" i="8"/>
  <c r="C20" i="8"/>
  <c r="C19" i="8"/>
  <c r="C18" i="8"/>
  <c r="C17" i="8"/>
  <c r="C8" i="8"/>
  <c r="F28" i="3"/>
  <c r="E28" i="3"/>
  <c r="D28" i="3"/>
  <c r="F26" i="3"/>
  <c r="E26" i="3"/>
  <c r="D26" i="3"/>
  <c r="F64" i="6"/>
  <c r="E64" i="6"/>
  <c r="F63" i="6"/>
  <c r="E63" i="6"/>
  <c r="F62" i="6"/>
  <c r="E62" i="6"/>
  <c r="H86" i="3"/>
  <c r="H85" i="3"/>
  <c r="F84" i="3"/>
  <c r="E84" i="3"/>
  <c r="F110" i="3"/>
  <c r="E110" i="3"/>
  <c r="D110" i="3"/>
  <c r="F51" i="3"/>
  <c r="E51" i="3"/>
  <c r="D51" i="3"/>
  <c r="F61" i="5"/>
  <c r="E61" i="5"/>
  <c r="D71" i="5"/>
  <c r="D70" i="5"/>
  <c r="D69" i="5"/>
  <c r="D68" i="5"/>
  <c r="D66" i="5"/>
  <c r="D65" i="5"/>
  <c r="D64" i="5"/>
  <c r="F130" i="3"/>
  <c r="F129" i="3"/>
  <c r="F128" i="3"/>
  <c r="F127" i="3"/>
  <c r="F126" i="3"/>
  <c r="F125" i="3"/>
  <c r="E130" i="3"/>
  <c r="E129" i="3"/>
  <c r="E128" i="3"/>
  <c r="E127" i="3"/>
  <c r="E126" i="3"/>
  <c r="E125" i="3"/>
  <c r="D130" i="3"/>
  <c r="D129" i="3"/>
  <c r="D128" i="3"/>
  <c r="D127" i="3"/>
  <c r="D126" i="3"/>
  <c r="D125" i="3"/>
  <c r="F119" i="3"/>
  <c r="F118" i="3"/>
  <c r="F117" i="3"/>
  <c r="F116" i="3"/>
  <c r="E119" i="3"/>
  <c r="E118" i="3"/>
  <c r="E117" i="3"/>
  <c r="E116" i="3"/>
  <c r="D119" i="3"/>
  <c r="D118" i="3"/>
  <c r="D117" i="3"/>
  <c r="D116" i="3"/>
  <c r="F101" i="3"/>
  <c r="E101" i="3"/>
  <c r="D101" i="3"/>
  <c r="F106" i="3"/>
  <c r="F27" i="3" s="1"/>
  <c r="E106" i="3"/>
  <c r="E27" i="3" s="1"/>
  <c r="D106" i="3"/>
  <c r="D27" i="3" s="1"/>
  <c r="F104" i="3"/>
  <c r="F25" i="3" s="1"/>
  <c r="E104" i="3"/>
  <c r="E25" i="3" s="1"/>
  <c r="D104" i="3"/>
  <c r="D25" i="3" s="1"/>
  <c r="F102" i="3"/>
  <c r="E102" i="3"/>
  <c r="D102" i="3"/>
  <c r="F100" i="3"/>
  <c r="E100" i="3"/>
  <c r="D100" i="3"/>
  <c r="F98" i="3"/>
  <c r="E98" i="3"/>
  <c r="D98" i="3"/>
  <c r="F97" i="3"/>
  <c r="E97" i="3"/>
  <c r="D97" i="3"/>
  <c r="F96" i="3"/>
  <c r="E96" i="3"/>
  <c r="D96" i="3"/>
  <c r="F95" i="3"/>
  <c r="E95" i="3"/>
  <c r="D95" i="3"/>
  <c r="F75" i="3"/>
  <c r="E75" i="3"/>
  <c r="D75" i="3"/>
  <c r="F77" i="3"/>
  <c r="E77" i="3"/>
  <c r="D77" i="3"/>
  <c r="F74" i="3"/>
  <c r="E74" i="3"/>
  <c r="D74" i="3"/>
  <c r="F73" i="3"/>
  <c r="E73" i="3"/>
  <c r="F76" i="3"/>
  <c r="E76" i="3"/>
  <c r="D76" i="3"/>
  <c r="D73" i="3"/>
  <c r="F71" i="3"/>
  <c r="F70" i="3"/>
  <c r="F69" i="3"/>
  <c r="E71" i="3"/>
  <c r="E70" i="3"/>
  <c r="E69" i="3"/>
  <c r="D71" i="3"/>
  <c r="D70" i="3"/>
  <c r="D69" i="3"/>
  <c r="F63" i="3"/>
  <c r="E63" i="3"/>
  <c r="D63" i="3"/>
  <c r="F62" i="3"/>
  <c r="E62" i="3"/>
  <c r="D62" i="3"/>
  <c r="F61" i="3"/>
  <c r="E61" i="3"/>
  <c r="D61" i="3"/>
  <c r="F58" i="3"/>
  <c r="E58" i="3"/>
  <c r="D58" i="3"/>
  <c r="F57" i="3"/>
  <c r="E57" i="3"/>
  <c r="D57" i="3"/>
  <c r="F56" i="3"/>
  <c r="E56" i="3"/>
  <c r="D56" i="3"/>
  <c r="F55" i="3"/>
  <c r="E55" i="3"/>
  <c r="D55" i="3"/>
  <c r="F49" i="3"/>
  <c r="E49" i="3"/>
  <c r="D49" i="3"/>
  <c r="F50" i="3"/>
  <c r="F17" i="3" s="1"/>
  <c r="E50" i="3"/>
  <c r="E17" i="3" s="1"/>
  <c r="D50" i="3"/>
  <c r="D17" i="3" s="1"/>
  <c r="D40" i="3"/>
  <c r="E40" i="3"/>
  <c r="F40" i="3"/>
  <c r="D41" i="3"/>
  <c r="E41" i="3"/>
  <c r="F41" i="3"/>
  <c r="D42" i="3"/>
  <c r="E42" i="3"/>
  <c r="F42" i="3"/>
  <c r="D43" i="3"/>
  <c r="E43" i="3"/>
  <c r="F43" i="3"/>
  <c r="D44" i="3"/>
  <c r="E44" i="3"/>
  <c r="F44" i="3"/>
  <c r="D45" i="3"/>
  <c r="E45" i="3"/>
  <c r="F45" i="3"/>
  <c r="E39" i="3"/>
  <c r="F39" i="3"/>
  <c r="D39" i="3"/>
  <c r="D67" i="5" l="1"/>
  <c r="D84" i="3" s="1"/>
  <c r="H84" i="3" s="1"/>
  <c r="C23" i="8"/>
  <c r="H26" i="3"/>
  <c r="H27" i="3"/>
  <c r="H25" i="3"/>
  <c r="H117" i="3"/>
  <c r="H118" i="3"/>
  <c r="D10" i="6" l="1"/>
  <c r="D18" i="6"/>
  <c r="D31" i="6"/>
  <c r="D41" i="6"/>
  <c r="D42" i="6" l="1"/>
  <c r="D20" i="6"/>
  <c r="D126" i="5"/>
  <c r="D127" i="5" s="1"/>
  <c r="D114" i="5"/>
  <c r="D115" i="5" s="1"/>
  <c r="D103" i="5"/>
  <c r="D104" i="5" s="1"/>
  <c r="D72" i="5"/>
  <c r="D76" i="5" s="1"/>
  <c r="D78" i="5" s="1"/>
  <c r="D88" i="3" s="1"/>
  <c r="D63" i="5"/>
  <c r="D82" i="3" s="1"/>
  <c r="D53" i="5"/>
  <c r="D54" i="5" s="1"/>
  <c r="D27" i="5"/>
  <c r="D20" i="5"/>
  <c r="D12" i="5"/>
  <c r="E41" i="6"/>
  <c r="F18" i="6"/>
  <c r="E18" i="6"/>
  <c r="F10" i="6"/>
  <c r="C7" i="8" s="1"/>
  <c r="E10" i="6"/>
  <c r="F126" i="5"/>
  <c r="F127" i="5" s="1"/>
  <c r="E126" i="5"/>
  <c r="E127" i="5" s="1"/>
  <c r="B126" i="5"/>
  <c r="F114" i="5"/>
  <c r="E114" i="5"/>
  <c r="E115" i="5" s="1"/>
  <c r="E103" i="5"/>
  <c r="E104" i="5" s="1"/>
  <c r="B103" i="5"/>
  <c r="B80" i="5"/>
  <c r="E78" i="5"/>
  <c r="E72" i="5"/>
  <c r="E63" i="5"/>
  <c r="E82" i="3" s="1"/>
  <c r="F63" i="5"/>
  <c r="E53" i="5"/>
  <c r="E54" i="5" s="1"/>
  <c r="B53" i="5"/>
  <c r="E27" i="5"/>
  <c r="F20" i="5"/>
  <c r="E20" i="5"/>
  <c r="E12" i="5"/>
  <c r="E88" i="3" l="1"/>
  <c r="C4" i="9"/>
  <c r="C8" i="9" s="1"/>
  <c r="F82" i="3"/>
  <c r="E34" i="5"/>
  <c r="E49" i="6" s="1"/>
  <c r="E66" i="6" s="1"/>
  <c r="F41" i="6"/>
  <c r="F115" i="5"/>
  <c r="D80" i="5"/>
  <c r="D81" i="5" s="1"/>
  <c r="D73" i="5"/>
  <c r="D34" i="5"/>
  <c r="D49" i="6" s="1"/>
  <c r="E48" i="6" s="1"/>
  <c r="E31" i="6"/>
  <c r="E42" i="6" s="1"/>
  <c r="E20" i="6"/>
  <c r="F12" i="5"/>
  <c r="F53" i="5"/>
  <c r="F54" i="5" s="1"/>
  <c r="F72" i="5"/>
  <c r="F78" i="5"/>
  <c r="F103" i="5"/>
  <c r="F104" i="5" s="1"/>
  <c r="E80" i="5"/>
  <c r="E81" i="5" s="1"/>
  <c r="F20" i="6"/>
  <c r="E73" i="5"/>
  <c r="F31" i="6"/>
  <c r="C9" i="8" s="1"/>
  <c r="C10" i="8" s="1"/>
  <c r="D10" i="8" s="1"/>
  <c r="F27" i="5"/>
  <c r="F88" i="3" l="1"/>
  <c r="E65" i="6"/>
  <c r="F48" i="6"/>
  <c r="F65" i="6" s="1"/>
  <c r="F73" i="5"/>
  <c r="F42" i="6"/>
  <c r="F34" i="5"/>
  <c r="F49" i="6" s="1"/>
  <c r="F66" i="6" s="1"/>
  <c r="F80" i="5"/>
  <c r="F81" i="5" l="1"/>
  <c r="F123" i="3" l="1"/>
  <c r="E123" i="3"/>
  <c r="D123" i="3"/>
  <c r="F114" i="3"/>
  <c r="E114" i="3"/>
  <c r="D114" i="3"/>
  <c r="F94" i="3"/>
  <c r="E94" i="3"/>
  <c r="D94" i="3"/>
  <c r="F81" i="3"/>
  <c r="E81" i="3"/>
  <c r="D81" i="3"/>
  <c r="F67" i="3"/>
  <c r="E67" i="3"/>
  <c r="D67" i="3"/>
  <c r="F36" i="3"/>
  <c r="E36" i="3"/>
  <c r="D36" i="3"/>
  <c r="D132" i="3"/>
  <c r="D133" i="3" s="1"/>
  <c r="H131" i="3"/>
  <c r="D120" i="3"/>
  <c r="D121" i="3" s="1"/>
  <c r="D111" i="3"/>
  <c r="D112" i="3" s="1"/>
  <c r="F19" i="3"/>
  <c r="E18" i="3"/>
  <c r="B94" i="3"/>
  <c r="D90" i="3"/>
  <c r="D91" i="3" s="1"/>
  <c r="H88" i="3"/>
  <c r="H87" i="3"/>
  <c r="B81" i="3"/>
  <c r="D78" i="3"/>
  <c r="D79" i="3" s="1"/>
  <c r="F10" i="3"/>
  <c r="E10" i="3"/>
  <c r="F9" i="3"/>
  <c r="H72" i="3"/>
  <c r="E8" i="3"/>
  <c r="H71" i="3"/>
  <c r="H70" i="3"/>
  <c r="B67" i="3"/>
  <c r="H63" i="3"/>
  <c r="D59" i="3"/>
  <c r="D5" i="3" s="1"/>
  <c r="F11" i="9" s="1"/>
  <c r="H58" i="3"/>
  <c r="H57" i="3"/>
  <c r="D52" i="3"/>
  <c r="D13" i="3" s="1"/>
  <c r="D46" i="3"/>
  <c r="D4" i="3" s="1"/>
  <c r="H44" i="3"/>
  <c r="D19" i="3"/>
  <c r="D18" i="3"/>
  <c r="H15" i="3"/>
  <c r="D14" i="3"/>
  <c r="D10" i="3"/>
  <c r="D9" i="3"/>
  <c r="D8" i="3"/>
  <c r="D6" i="3"/>
  <c r="B5" i="3"/>
  <c r="H83" i="3" l="1"/>
  <c r="D30" i="3"/>
  <c r="H41" i="3"/>
  <c r="H102" i="3"/>
  <c r="H74" i="3"/>
  <c r="H95" i="3"/>
  <c r="H61" i="3"/>
  <c r="H103" i="3"/>
  <c r="E52" i="3"/>
  <c r="E13" i="3" s="1"/>
  <c r="H110" i="3"/>
  <c r="H119" i="3"/>
  <c r="H73" i="3"/>
  <c r="H39" i="3"/>
  <c r="F6" i="3"/>
  <c r="E14" i="3"/>
  <c r="H40" i="3"/>
  <c r="H116" i="3"/>
  <c r="H96" i="3"/>
  <c r="H100" i="3"/>
  <c r="H104" i="3"/>
  <c r="H108" i="3"/>
  <c r="E6" i="3"/>
  <c r="H6" i="3" s="1"/>
  <c r="H129" i="3"/>
  <c r="F78" i="3"/>
  <c r="F79" i="3" s="1"/>
  <c r="F52" i="3"/>
  <c r="F13" i="3" s="1"/>
  <c r="H56" i="3"/>
  <c r="F18" i="3"/>
  <c r="H18" i="3" s="1"/>
  <c r="H17" i="3"/>
  <c r="C7" i="7" s="1"/>
  <c r="F14" i="3"/>
  <c r="D20" i="3"/>
  <c r="H51" i="3"/>
  <c r="H75" i="3"/>
  <c r="E78" i="3"/>
  <c r="E79" i="3" s="1"/>
  <c r="H127" i="3"/>
  <c r="H43" i="3"/>
  <c r="H62" i="3"/>
  <c r="H77" i="3"/>
  <c r="H97" i="3"/>
  <c r="H101" i="3"/>
  <c r="H128" i="3"/>
  <c r="H10" i="3"/>
  <c r="H105" i="3"/>
  <c r="H109" i="3"/>
  <c r="E90" i="3"/>
  <c r="E91" i="3" s="1"/>
  <c r="E111" i="3"/>
  <c r="E112" i="3" s="1"/>
  <c r="H98" i="3"/>
  <c r="F120" i="3"/>
  <c r="F121" i="3" s="1"/>
  <c r="F132" i="3"/>
  <c r="F133" i="3" s="1"/>
  <c r="E120" i="3"/>
  <c r="E121" i="3" s="1"/>
  <c r="E132" i="3"/>
  <c r="E133" i="3" s="1"/>
  <c r="E9" i="3"/>
  <c r="H9" i="3" s="1"/>
  <c r="E19" i="3"/>
  <c r="H19" i="3" s="1"/>
  <c r="F46" i="3"/>
  <c r="F4" i="3" s="1"/>
  <c r="C10" i="9" s="1"/>
  <c r="F90" i="3"/>
  <c r="F91" i="3" s="1"/>
  <c r="H99" i="3"/>
  <c r="H126" i="3"/>
  <c r="H130" i="3"/>
  <c r="H42" i="3"/>
  <c r="H76" i="3"/>
  <c r="H107" i="3"/>
  <c r="D11" i="3"/>
  <c r="F111" i="3"/>
  <c r="F112" i="3" s="1"/>
  <c r="E46" i="3"/>
  <c r="E4" i="3" s="1"/>
  <c r="H69" i="3"/>
  <c r="H106" i="3"/>
  <c r="D64" i="3"/>
  <c r="H55" i="3"/>
  <c r="H125" i="3"/>
  <c r="F8" i="3"/>
  <c r="H8" i="3" s="1"/>
  <c r="C4" i="7" s="1"/>
  <c r="H82" i="3"/>
  <c r="H50" i="3"/>
  <c r="H49" i="3"/>
  <c r="E59" i="3"/>
  <c r="E5" i="3" s="1"/>
  <c r="G11" i="9" s="1"/>
  <c r="H45" i="3"/>
  <c r="F59" i="3"/>
  <c r="F5" i="3" s="1"/>
  <c r="H11" i="9" s="1"/>
  <c r="C11" i="9" s="1"/>
  <c r="C12" i="9" l="1"/>
  <c r="C14" i="9" s="1"/>
  <c r="D23" i="3"/>
  <c r="D65" i="3"/>
  <c r="D50" i="6"/>
  <c r="F30" i="3"/>
  <c r="E30" i="3"/>
  <c r="H28" i="3"/>
  <c r="H13" i="3"/>
  <c r="H5" i="3"/>
  <c r="H14" i="3"/>
  <c r="H120" i="3"/>
  <c r="H121" i="3" s="1"/>
  <c r="H78" i="3"/>
  <c r="H79" i="3" s="1"/>
  <c r="H46" i="3"/>
  <c r="F11" i="3"/>
  <c r="D22" i="3"/>
  <c r="F20" i="3"/>
  <c r="E20" i="3"/>
  <c r="H132" i="3"/>
  <c r="H133" i="3" s="1"/>
  <c r="E64" i="3"/>
  <c r="H90" i="3"/>
  <c r="H91" i="3" s="1"/>
  <c r="F64" i="3"/>
  <c r="H111" i="3"/>
  <c r="H112" i="3" s="1"/>
  <c r="H59" i="3"/>
  <c r="E11" i="3"/>
  <c r="H4" i="3"/>
  <c r="C3" i="7" s="1"/>
  <c r="C5" i="7" s="1"/>
  <c r="H52" i="3"/>
  <c r="C13" i="8" l="1"/>
  <c r="C14" i="8"/>
  <c r="C6" i="7"/>
  <c r="C8" i="7" s="1"/>
  <c r="C9" i="7" s="1"/>
  <c r="D52" i="6"/>
  <c r="D54" i="6" s="1"/>
  <c r="E61" i="6"/>
  <c r="E67" i="6" s="1"/>
  <c r="F23" i="3"/>
  <c r="F65" i="3"/>
  <c r="F50" i="6"/>
  <c r="E23" i="3"/>
  <c r="E65" i="3"/>
  <c r="E50" i="6"/>
  <c r="H20" i="3"/>
  <c r="H11" i="3"/>
  <c r="H30" i="3"/>
  <c r="C23" i="7" s="1"/>
  <c r="E22" i="3"/>
  <c r="F22" i="3"/>
  <c r="H64" i="3"/>
  <c r="C15" i="8" l="1"/>
  <c r="C24" i="8" s="1"/>
  <c r="D24" i="8" s="1"/>
  <c r="F52" i="6"/>
  <c r="F54" i="6" s="1"/>
  <c r="C15" i="7"/>
  <c r="C4" i="8"/>
  <c r="D4" i="8" s="1"/>
  <c r="D28" i="8" s="1"/>
  <c r="D30" i="8" s="1"/>
  <c r="C11" i="7" s="1"/>
  <c r="E52" i="6"/>
  <c r="E54" i="6" s="1"/>
  <c r="F61" i="6"/>
  <c r="F67" i="6" s="1"/>
  <c r="F68" i="6" s="1"/>
  <c r="E68" i="6"/>
  <c r="H22" i="3"/>
  <c r="C16" i="7" l="1"/>
  <c r="C18" i="7" s="1"/>
  <c r="C20" i="7" s="1"/>
  <c r="C22" i="7" l="1"/>
  <c r="C24" i="7" s="1"/>
  <c r="C26" i="7" s="1"/>
  <c r="C28" i="7" s="1"/>
</calcChain>
</file>

<file path=xl/sharedStrings.xml><?xml version="1.0" encoding="utf-8"?>
<sst xmlns="http://schemas.openxmlformats.org/spreadsheetml/2006/main" count="351" uniqueCount="272">
  <si>
    <t>DA</t>
  </si>
  <si>
    <t>CONTUL DE PROFIT ȘI PIERDERI</t>
  </si>
  <si>
    <t>Note</t>
  </si>
  <si>
    <t>Venituri (+)</t>
  </si>
  <si>
    <t>Bilete de intrare</t>
  </si>
  <si>
    <t>Sponsorizări şi publicitate</t>
  </si>
  <si>
    <t>Drepturi de difuzare</t>
  </si>
  <si>
    <t>Activităţi comerciale</t>
  </si>
  <si>
    <t>Venituri UEFA (plăți solidaritate și sume premiere)</t>
  </si>
  <si>
    <t>Subvenții, donații și alte venituri autorități stat/locale</t>
  </si>
  <si>
    <t>Alte venituri din exploatare</t>
  </si>
  <si>
    <t>Total venituri din exploatare</t>
  </si>
  <si>
    <t>Cheltuieli (-)</t>
  </si>
  <si>
    <t>Costuri aferente veniturilor din vânzări/costuri cu materialele</t>
  </si>
  <si>
    <t>Cheltuieli privind beneficiile pentru angajaţi</t>
  </si>
  <si>
    <t>Cheltuieli cu amortizarea și ajustarea imobilizărilor corporale</t>
  </si>
  <si>
    <t>Cheltuieli cu amortizarea altor imobilizări necorporale (fără drepturile de legitimare (jucători))</t>
  </si>
  <si>
    <t>Alte cheltuieli de exploatare</t>
  </si>
  <si>
    <t>Total cheltuieli de exploatare</t>
  </si>
  <si>
    <t>Transferuri de jucători</t>
  </si>
  <si>
    <t>Profit/(pierderi) din cedarea activelor - drepturi de legitimare</t>
  </si>
  <si>
    <t>Cheltuieli cu amortizarea și ajustarea drepturilor de legitimare</t>
  </si>
  <si>
    <t>Venituri din cedarea temporară a drepturilor de legitimare</t>
  </si>
  <si>
    <t>Cheltuieli aferente cesionării temporare a drepturilor de legitimare</t>
  </si>
  <si>
    <t>Rezultatul total net din transferurile de jucători</t>
  </si>
  <si>
    <t>Alte venituri/cheltuieli</t>
  </si>
  <si>
    <t>Profit/(pierderi) din cedarea altor active</t>
  </si>
  <si>
    <t>Profit/(pierdere) financiară</t>
  </si>
  <si>
    <t>Venituri/cheltuieli extraordinare</t>
  </si>
  <si>
    <t xml:space="preserve">Cheltuieli cu impozitul pe profit </t>
  </si>
  <si>
    <t>Profitul / (pierderile) după impozitare</t>
  </si>
  <si>
    <t>Diverse</t>
  </si>
  <si>
    <t>NOTA 5</t>
  </si>
  <si>
    <t>Subvenții, donații și alte venituri FRF/LPF</t>
  </si>
  <si>
    <t>Subvenții și donații părți legate</t>
  </si>
  <si>
    <t>Alte subvenții și donații</t>
  </si>
  <si>
    <t>Venituri din activități în afara fotbalului</t>
  </si>
  <si>
    <t>Venituri/elemente similare veniturilor nemonetare</t>
  </si>
  <si>
    <t>Venituri din penalități</t>
  </si>
  <si>
    <t>…</t>
  </si>
  <si>
    <t>Venituri din reducerea datoriilor (insolvență)</t>
  </si>
  <si>
    <t>NOTA 7</t>
  </si>
  <si>
    <t>Cheltuieli salariale jucători</t>
  </si>
  <si>
    <t>Cheltuieli cu contribuții și taxe jucători</t>
  </si>
  <si>
    <t>Cheltuieli cu colaboratorii jucători (prestării servicii)</t>
  </si>
  <si>
    <t>Alte beneficii acordate jucătorilor</t>
  </si>
  <si>
    <t>Total cheltuieli de personal cu jucătorii</t>
  </si>
  <si>
    <t>Cheltuieli salariale antrenor principal</t>
  </si>
  <si>
    <t>Cheltuieli cu contribuții și taxe antrenor principal</t>
  </si>
  <si>
    <t>Alte beneficii acordate antrenorului principal</t>
  </si>
  <si>
    <t>Total cheltuieli de personal cu antrenorul principal</t>
  </si>
  <si>
    <t>Cheltuieli salariale angajați relevanți (art.70)</t>
  </si>
  <si>
    <t>Cheltuieli cu contribuții și taxe</t>
  </si>
  <si>
    <t>Cheltuieli cu colaboratorii prestări servicii</t>
  </si>
  <si>
    <t>Alte beneficii acordate</t>
  </si>
  <si>
    <t>Total cheltuieli de personal angajați relevanți (art 70)</t>
  </si>
  <si>
    <t>Total jucători, antrenor principal si angajați relevanți (art.70)</t>
  </si>
  <si>
    <t>Cheltuieli salariale alți angajați</t>
  </si>
  <si>
    <t>Cheltuieli cu contributii și taxe alți angajați</t>
  </si>
  <si>
    <t>Cheltuieli cu colaboratorii alți angajați (prestării servicii)</t>
  </si>
  <si>
    <t>Alte beneficii acordate altor angajați</t>
  </si>
  <si>
    <t>Total cheltuieli de personal cu alți angajați</t>
  </si>
  <si>
    <t>NOTA 8</t>
  </si>
  <si>
    <t>Organizare meciuri, deplasări și cantonamente</t>
  </si>
  <si>
    <t>Cheltuieli aferente activităților comerciale</t>
  </si>
  <si>
    <t>Chirii și alte costuri aferente stadion și facilități de antrenament</t>
  </si>
  <si>
    <t>Onorariile/comisioanele agenţilor/intermediarilor (necapitalizate)</t>
  </si>
  <si>
    <t>Cheltuieli contribuții/compensații solidaritate/formare/promovare</t>
  </si>
  <si>
    <t>Cheltuieli cu compensații/despăgubiri (litigii)</t>
  </si>
  <si>
    <t>Taxe și penalități</t>
  </si>
  <si>
    <t>Cheltuieli aferente activităților în afara fotbalului</t>
  </si>
  <si>
    <t>Cheltuieli cu activităţi de dezvoltare a sectorului de juniori</t>
  </si>
  <si>
    <t>Cheltuieli cu activităţi de dezvoltare a comunităţii</t>
  </si>
  <si>
    <t>Cheltuieli cu activităţi legate de fotbalul feminin</t>
  </si>
  <si>
    <t>Cheltuieli cu activități legate de futsal</t>
  </si>
  <si>
    <t>Costuri/elemente similare nemonetare</t>
  </si>
  <si>
    <t>NOTA 9</t>
  </si>
  <si>
    <t>Venituri din cedarea activelor - drepturi de legitimare (+)</t>
  </si>
  <si>
    <t>Costuri aferente clauzelor de revânzare (-)</t>
  </si>
  <si>
    <t>Onorarii/comisioane aferente veniturilor din cedare (-)</t>
  </si>
  <si>
    <t>Valoarea neamortizată a drepturilor cedate (-)</t>
  </si>
  <si>
    <t>Total Profit/(pierderi)</t>
  </si>
  <si>
    <t>NOTA 10</t>
  </si>
  <si>
    <t>Venituri din dobânzi (+)</t>
  </si>
  <si>
    <t>Cheltuieli din dobânzi (-)</t>
  </si>
  <si>
    <t>Venituri din diferențe favorabile de curs valutar (+)</t>
  </si>
  <si>
    <t>Cheltuieli diferențe nefavorabile de curs valutar (-)</t>
  </si>
  <si>
    <t>Alte venituri financiare (+)</t>
  </si>
  <si>
    <t>Alte cheltuieli financiare (-)</t>
  </si>
  <si>
    <t>TOTAL</t>
  </si>
  <si>
    <t>Venituri din exploatare - total</t>
  </si>
  <si>
    <t>Venituri financiare</t>
  </si>
  <si>
    <t>Ajustari:</t>
  </si>
  <si>
    <t>Venituri din activitati in afara fotbalului</t>
  </si>
  <si>
    <t>Venituri din reducerea datoriilor (insolventa)</t>
  </si>
  <si>
    <t>Total Venituri relevante</t>
  </si>
  <si>
    <t>Cheltuieli din exploatare - total</t>
  </si>
  <si>
    <t>Costuri financiare</t>
  </si>
  <si>
    <t>Dividende</t>
  </si>
  <si>
    <t>Cheltuieli cu amortizarea</t>
  </si>
  <si>
    <t>Cheltuieli aferente activitatilor in afara fotbalului</t>
  </si>
  <si>
    <t>Cheltuieli cu activităţi de responsabilitate socială</t>
  </si>
  <si>
    <t>Total Cheltuieli relevante</t>
  </si>
  <si>
    <t>EXCEDENT / (DEFICIT)</t>
  </si>
  <si>
    <t>În numele candidatului la licenţă, se confirmă că informaţiile furnizate în tabelul de mai sus sunt exacte şi complete.</t>
  </si>
  <si>
    <t>[semnătura] [data]</t>
  </si>
  <si>
    <t>Contul de profit si pierdere</t>
  </si>
  <si>
    <t>Venituri UEFA</t>
  </si>
  <si>
    <t>Subventii, donatii si alte venituri autoritati stat/locale</t>
  </si>
  <si>
    <t>Cheltuieli cu amortizarea (corporale+necorporale)</t>
  </si>
  <si>
    <t>Alte cheltuieli de exploatare (inclusiv costuri materiale)</t>
  </si>
  <si>
    <t>Transferuri de jucatori</t>
  </si>
  <si>
    <t>Rezultat din cedarea activelor - drepturi de legitimare</t>
  </si>
  <si>
    <t>Cheltuieli cu amortizarea (drepturi legitimare)</t>
  </si>
  <si>
    <t>Venituri din cedarea temporara a drepturilor de legitimare</t>
  </si>
  <si>
    <t>Cheltuieli aferente cesionarii drepturilor de legitimare</t>
  </si>
  <si>
    <t>Rezultat net din transferurile de jucatori</t>
  </si>
  <si>
    <t>Profit/(pierdere) financiara</t>
  </si>
  <si>
    <t>Subventii, donatii si alte venituri FRF/LPF</t>
  </si>
  <si>
    <t>Subventii si donatii parti afiliate</t>
  </si>
  <si>
    <t>Alte subventii si donatii</t>
  </si>
  <si>
    <t>Venituri din penalitati</t>
  </si>
  <si>
    <t>Total</t>
  </si>
  <si>
    <t>Cheltuieli de personal cu jucatorii - juniori</t>
  </si>
  <si>
    <t>Personal cu activitate in sectorul juniori</t>
  </si>
  <si>
    <t>Personal cu activitate in fotbalul feminin</t>
  </si>
  <si>
    <t>Personal cu activitate in futsal</t>
  </si>
  <si>
    <t>Cheltuieli cu alti angajati</t>
  </si>
  <si>
    <t>Organizare meciuri, deplasari si cantonamente</t>
  </si>
  <si>
    <t>Cheltuieli aferente activitatilor comerciale</t>
  </si>
  <si>
    <t>Chirii si alte costuri aferente stadion si facilitati de antrenament</t>
  </si>
  <si>
    <t>Cheltuieli contributii/compensatii de solidaritate/formare/promovare</t>
  </si>
  <si>
    <t>Cheltuieli cu compensatii/despagubiri (litigii)</t>
  </si>
  <si>
    <t>Taxe si penalitati</t>
  </si>
  <si>
    <t>Rezultatul financiar</t>
  </si>
  <si>
    <t>Venituri din dobanzi</t>
  </si>
  <si>
    <t>Cheltuieli din dobanzi</t>
  </si>
  <si>
    <t>Venituri din diferente favorabile de curs valutar</t>
  </si>
  <si>
    <t>Cheltuieli diferente nefavorabile de curs valutar</t>
  </si>
  <si>
    <t>Alte venituri financiare</t>
  </si>
  <si>
    <t>Alte cheltuieli financiare</t>
  </si>
  <si>
    <t>Total Profit/(pierdere) financiara</t>
  </si>
  <si>
    <t>BILANȚ</t>
  </si>
  <si>
    <t>31.12.2021</t>
  </si>
  <si>
    <t>31.12.2022</t>
  </si>
  <si>
    <t>Active circulante</t>
  </si>
  <si>
    <t>Numerar şi echivalente de numerar</t>
  </si>
  <si>
    <t>Creanţe rezultate din transferuri/împrumuturi de jucători</t>
  </si>
  <si>
    <t>Creanţe la alte societăţi din cadrul grupului şi părţi legate</t>
  </si>
  <si>
    <t>Alte creanţe și cheltuieli în avans</t>
  </si>
  <si>
    <t>Stocuri</t>
  </si>
  <si>
    <t>Active imobilizate</t>
  </si>
  <si>
    <t>Imobilizări corporale</t>
  </si>
  <si>
    <t>Imobilizări necorporale - jucători</t>
  </si>
  <si>
    <t>Alte imobilizări necorporale</t>
  </si>
  <si>
    <t>Investiţii și alte active pe termen lung</t>
  </si>
  <si>
    <t>TOTAL ACTIVE</t>
  </si>
  <si>
    <t>Datorii pe termen scurt</t>
  </si>
  <si>
    <t>Credite în conturi curente şi alte împrumuturi</t>
  </si>
  <si>
    <t>Datorii rezultate din transferuri/împrumuturi de jucători</t>
  </si>
  <si>
    <t>Datorii faţă de societăţile din cadrul grupului şi alte părţi legate</t>
  </si>
  <si>
    <t>Datorii faţă de angajaţi</t>
  </si>
  <si>
    <t>Datorii faţă de autoritaţile fiscale</t>
  </si>
  <si>
    <t>Alte datorii, subvenții și venituri în avans</t>
  </si>
  <si>
    <t>Provizioane</t>
  </si>
  <si>
    <t>Datorii față de UEFA/FRF/LPF/AJF/AMFB</t>
  </si>
  <si>
    <t>Datorii pe termen lung</t>
  </si>
  <si>
    <t>Credite şi alte împrumuturi</t>
  </si>
  <si>
    <t>TOTAL DATORII</t>
  </si>
  <si>
    <t>Active nete/(pasive) / Capital propriu</t>
  </si>
  <si>
    <t>Capital social</t>
  </si>
  <si>
    <t>Rezerve din reevaluare</t>
  </si>
  <si>
    <t>Alte rezerve</t>
  </si>
  <si>
    <t>Rezultat reportat</t>
  </si>
  <si>
    <t>Rezultat curent</t>
  </si>
  <si>
    <t>Total Capital propriu</t>
  </si>
  <si>
    <t>TOTAL DATORII ȘI CAPITALURI PROPRII</t>
  </si>
  <si>
    <t>INVESTITII RELEVANTE</t>
  </si>
  <si>
    <t>Cheltuieli cu activităţi de dezvoltare comunitara</t>
  </si>
  <si>
    <t>Costurile fin atribuibile investitiilor in imobilizări corporale</t>
  </si>
  <si>
    <t>Costurile aferente îmbunătăţirii proprietăţilor inchiriate</t>
  </si>
  <si>
    <t>TOTAL INVESTITII RELEVANTE</t>
  </si>
  <si>
    <t>Venituri din 5 % solidaritate</t>
  </si>
  <si>
    <t>Venituri din provizioane</t>
  </si>
  <si>
    <t>31.12.2020</t>
  </si>
  <si>
    <t>Venituri taxa solidaritate</t>
  </si>
  <si>
    <t>Cheltuieli de personal cu antrenorul principal</t>
  </si>
  <si>
    <t>Cheltuieli de personal cu jucatorii - seniori</t>
  </si>
  <si>
    <t>Indicatori Anexa J.6</t>
  </si>
  <si>
    <t>Indeplinire</t>
  </si>
  <si>
    <t>Active circulante (A)</t>
  </si>
  <si>
    <t>Stocuri (B)</t>
  </si>
  <si>
    <t>Valoare</t>
  </si>
  <si>
    <t>Datorii pe termen scurt (C)</t>
  </si>
  <si>
    <t>Venituri relevante - medie</t>
  </si>
  <si>
    <t>Cheltuieli relevante</t>
  </si>
  <si>
    <t>Indatorarea neta</t>
  </si>
  <si>
    <t>Suma atribuibila constructiei stadion/facilitati antrenament</t>
  </si>
  <si>
    <t>Numerar</t>
  </si>
  <si>
    <t>Soldul net al transferurilor de jucatori</t>
  </si>
  <si>
    <t>Obligatii de plata (pe termen lung) asigurari/autoritati fiscale</t>
  </si>
  <si>
    <t>Valoarea medie a veniturilor nete relevante - 2 ani (A)</t>
  </si>
  <si>
    <t>Indatorarea neta (B)</t>
  </si>
  <si>
    <t>1. Capital propriu pozitiv</t>
  </si>
  <si>
    <t>2. Lichiditate rapida</t>
  </si>
  <si>
    <t>3. Grad de indatorare sustenabil</t>
  </si>
  <si>
    <t>4. Continuitatea activitatii</t>
  </si>
  <si>
    <t>Calcul Venituri nete relevante</t>
  </si>
  <si>
    <t>ABATEREA ACCEPTABILA</t>
  </si>
  <si>
    <t>CUMULAT</t>
  </si>
  <si>
    <t>INDEPLINIRE CRITERII</t>
  </si>
  <si>
    <t>Lichiditate rapida ( (A)-(B) ) / (C) &gt;1</t>
  </si>
  <si>
    <t>Grad de indatorare (A)/(B) &gt;3</t>
  </si>
  <si>
    <t>Perioada 2020-2022</t>
  </si>
  <si>
    <t>Ajustari venituri nete</t>
  </si>
  <si>
    <t>Ajustari cheltuieli relevante</t>
  </si>
  <si>
    <t>Venituri relevante</t>
  </si>
  <si>
    <t>Venituri nete relevante - ajustate (A)</t>
  </si>
  <si>
    <t>Cheltuieli nete relevante - ajustate (B)</t>
  </si>
  <si>
    <t>Aporturi/Capitaluri proprii - neutilizate (A)</t>
  </si>
  <si>
    <t>Investitii relevante (B)</t>
  </si>
  <si>
    <t>Ajutari pentru investitii relevante - min(A,B)</t>
  </si>
  <si>
    <t>Contributii T/T+1 (C)</t>
  </si>
  <si>
    <t>Capitaluri proprii la 31 dec 2022 (D)</t>
  </si>
  <si>
    <t>Aporturi/Capitaluri proprii - max(C,D)</t>
  </si>
  <si>
    <t>Aporturi/Capitaluri proprii ("A/CP")</t>
  </si>
  <si>
    <t>Abaterea Acceptabila ("AA")</t>
  </si>
  <si>
    <t>VENITURILE NETE AJUSTATE ("VNA") (A)-(B)</t>
  </si>
  <si>
    <t>REGULA PRIVIND VENITURILE NETE</t>
  </si>
  <si>
    <t>Venituri nete ajustate  vs. AAA</t>
  </si>
  <si>
    <t>Abaterea Acceptabila Ajustata ("AAA")</t>
  </si>
  <si>
    <t>DEFICIT - regula privind veniturile nete</t>
  </si>
  <si>
    <t>Indeplinire Regula privind Veniturile Nete:</t>
  </si>
  <si>
    <t>Amortizarea / deprecierea costurilor persoanelor relevante</t>
  </si>
  <si>
    <t xml:space="preserve">Costurile agenţilor / intermediarilor / părţilor conectate </t>
  </si>
  <si>
    <t>TOTAL Numarator (A)</t>
  </si>
  <si>
    <t>Rezultat din cedarea drepturilor de legitimare</t>
  </si>
  <si>
    <t>TOTAL Numarator (B)</t>
  </si>
  <si>
    <t>Jucatori profesionisti</t>
  </si>
  <si>
    <t>Antrenori principali</t>
  </si>
  <si>
    <t>Cheltuielile cu beneficiile pentru angajaţi aferente persoanelor relevante:</t>
  </si>
  <si>
    <t>Venituri din exploatare (mai putin cele in afara fotbalului)</t>
  </si>
  <si>
    <t>Raport controlul costurilor (A) /(B)</t>
  </si>
  <si>
    <t>12/24/36</t>
  </si>
  <si>
    <t>CP - SI</t>
  </si>
  <si>
    <t>CP - SF</t>
  </si>
  <si>
    <t>Check CP:</t>
  </si>
  <si>
    <t>Numele angajatului</t>
  </si>
  <si>
    <t>Data angajării</t>
  </si>
  <si>
    <t xml:space="preserve">Data încetării raporturilor de muncă </t>
  </si>
  <si>
    <t>(a)</t>
  </si>
  <si>
    <t>(b)</t>
  </si>
  <si>
    <t>(c)</t>
  </si>
  <si>
    <t>(d)</t>
  </si>
  <si>
    <t>Jucatori Juniori</t>
  </si>
  <si>
    <t>Jucatori Seniori</t>
  </si>
  <si>
    <t>Data nasterii 
(doar pentru Juniori)</t>
  </si>
  <si>
    <t>(e)</t>
  </si>
  <si>
    <t>(f)</t>
  </si>
  <si>
    <t>(g)</t>
  </si>
  <si>
    <t>Total Antrenori principali</t>
  </si>
  <si>
    <t>Total Costuri cu echipa</t>
  </si>
  <si>
    <t>Total Jucatori Seniori (A)</t>
  </si>
  <si>
    <t>Total Jucatori Juniori (B)</t>
  </si>
  <si>
    <t xml:space="preserve">Total Jucatori  (A)+(B) </t>
  </si>
  <si>
    <t>Cheltuieli beneficii  (inclusiv taxe/contributii)</t>
  </si>
  <si>
    <t>Personal cu activitate in centrul de copii si juniori</t>
  </si>
  <si>
    <t>Total Personal cu activitate in centrul de copii si juniori</t>
  </si>
  <si>
    <t>Total Personal cu activitate in in fotbalul feminin</t>
  </si>
  <si>
    <t>Reconciliere:</t>
  </si>
  <si>
    <t>Total Personal care nu se regaseste in categoriile de mai sus</t>
  </si>
  <si>
    <t>Total Beneficii angajati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</si>
</sst>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rebuchet MS"/>
      <family val="2"/>
    </font>
    <font>
      <sz val="11"/>
      <color theme="1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u val="singleAccounting"/>
      <sz val="11"/>
      <color theme="3" tint="-0.499984740745262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164" fontId="0" fillId="0" borderId="0" xfId="1" applyNumberFormat="1" applyFont="1"/>
    <xf numFmtId="0" fontId="4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/>
    <xf numFmtId="0" fontId="4" fillId="0" borderId="0" xfId="2" applyFont="1" applyAlignment="1">
      <alignment horizontal="justify" vertical="top" wrapText="1"/>
    </xf>
    <xf numFmtId="0" fontId="4" fillId="0" borderId="0" xfId="2" applyFont="1" applyAlignment="1">
      <alignment horizontal="center" vertical="top" wrapText="1"/>
    </xf>
    <xf numFmtId="164" fontId="4" fillId="0" borderId="0" xfId="3" applyNumberFormat="1" applyFont="1" applyAlignment="1">
      <alignment horizontal="center" vertical="top" wrapText="1"/>
    </xf>
    <xf numFmtId="0" fontId="7" fillId="0" borderId="0" xfId="2" applyFont="1" applyAlignment="1">
      <alignment horizontal="justify" vertical="top" wrapText="1"/>
    </xf>
    <xf numFmtId="0" fontId="7" fillId="0" borderId="0" xfId="2" applyFont="1" applyAlignment="1">
      <alignment vertical="top" wrapText="1"/>
    </xf>
    <xf numFmtId="0" fontId="8" fillId="0" borderId="0" xfId="2" applyFont="1"/>
    <xf numFmtId="164" fontId="7" fillId="0" borderId="0" xfId="3" applyNumberFormat="1" applyFont="1" applyAlignment="1">
      <alignment horizontal="center" vertical="top" wrapText="1"/>
    </xf>
    <xf numFmtId="0" fontId="9" fillId="0" borderId="0" xfId="2" applyFont="1" applyAlignment="1">
      <alignment horizontal="center" vertical="top" wrapText="1"/>
    </xf>
    <xf numFmtId="164" fontId="10" fillId="0" borderId="0" xfId="3" applyNumberFormat="1" applyFont="1" applyAlignment="1">
      <alignment horizontal="center" vertical="top" wrapText="1"/>
    </xf>
    <xf numFmtId="0" fontId="4" fillId="0" borderId="0" xfId="2" applyFont="1" applyAlignment="1">
      <alignment vertical="top" wrapText="1"/>
    </xf>
    <xf numFmtId="164" fontId="7" fillId="0" borderId="1" xfId="3" applyNumberFormat="1" applyFont="1" applyBorder="1" applyAlignment="1">
      <alignment horizontal="center" vertical="top" wrapText="1"/>
    </xf>
    <xf numFmtId="164" fontId="6" fillId="0" borderId="0" xfId="3" applyNumberFormat="1" applyFont="1" applyAlignment="1">
      <alignment horizontal="center"/>
    </xf>
    <xf numFmtId="0" fontId="7" fillId="0" borderId="0" xfId="2" applyFont="1" applyAlignment="1">
      <alignment horizontal="center" vertical="top" wrapText="1"/>
    </xf>
    <xf numFmtId="164" fontId="7" fillId="0" borderId="3" xfId="3" applyNumberFormat="1" applyFont="1" applyBorder="1" applyAlignment="1">
      <alignment horizontal="center" vertical="top" wrapText="1"/>
    </xf>
    <xf numFmtId="164" fontId="7" fillId="0" borderId="0" xfId="3" applyNumberFormat="1" applyFont="1" applyBorder="1" applyAlignment="1">
      <alignment horizontal="center" vertical="top" wrapText="1"/>
    </xf>
    <xf numFmtId="0" fontId="11" fillId="0" borderId="0" xfId="2" applyFont="1" applyAlignment="1">
      <alignment vertical="center" wrapText="1"/>
    </xf>
    <xf numFmtId="0" fontId="12" fillId="0" borderId="0" xfId="2" applyFont="1"/>
    <xf numFmtId="0" fontId="12" fillId="0" borderId="0" xfId="2" applyFont="1" applyAlignment="1">
      <alignment vertical="center" wrapText="1"/>
    </xf>
    <xf numFmtId="0" fontId="4" fillId="0" borderId="0" xfId="2" applyFont="1" applyAlignment="1">
      <alignment horizontal="right" vertical="top" wrapText="1"/>
    </xf>
    <xf numFmtId="164" fontId="7" fillId="0" borderId="0" xfId="3" applyNumberFormat="1" applyFont="1" applyAlignment="1">
      <alignment horizontal="right" vertical="top" wrapText="1"/>
    </xf>
    <xf numFmtId="164" fontId="7" fillId="0" borderId="1" xfId="3" applyNumberFormat="1" applyFont="1" applyBorder="1" applyAlignment="1">
      <alignment horizontal="right" vertical="top" wrapText="1"/>
    </xf>
    <xf numFmtId="164" fontId="4" fillId="0" borderId="6" xfId="3" applyNumberFormat="1" applyFont="1" applyBorder="1" applyAlignment="1">
      <alignment horizontal="right" vertical="top" wrapText="1"/>
    </xf>
    <xf numFmtId="164" fontId="4" fillId="0" borderId="7" xfId="3" applyNumberFormat="1" applyFont="1" applyBorder="1" applyAlignment="1">
      <alignment horizontal="justify" vertical="top" wrapText="1"/>
    </xf>
    <xf numFmtId="164" fontId="4" fillId="0" borderId="8" xfId="3" applyNumberFormat="1" applyFont="1" applyBorder="1" applyAlignment="1">
      <alignment horizontal="justify" vertical="top" wrapText="1"/>
    </xf>
    <xf numFmtId="0" fontId="4" fillId="0" borderId="0" xfId="2" applyFont="1" applyAlignment="1">
      <alignment horizontal="center"/>
    </xf>
    <xf numFmtId="164" fontId="4" fillId="0" borderId="1" xfId="3" applyNumberFormat="1" applyFont="1" applyBorder="1" applyAlignment="1">
      <alignment horizontal="right" vertical="top" wrapText="1"/>
    </xf>
    <xf numFmtId="164" fontId="4" fillId="0" borderId="2" xfId="3" applyNumberFormat="1" applyFont="1" applyBorder="1" applyAlignment="1">
      <alignment horizontal="right" vertical="top" wrapText="1"/>
    </xf>
    <xf numFmtId="164" fontId="4" fillId="2" borderId="0" xfId="3" applyNumberFormat="1" applyFont="1" applyFill="1" applyAlignment="1">
      <alignment horizontal="right" vertical="top" wrapText="1"/>
    </xf>
    <xf numFmtId="0" fontId="5" fillId="0" borderId="0" xfId="2" applyFont="1"/>
    <xf numFmtId="164" fontId="7" fillId="0" borderId="0" xfId="3" applyNumberFormat="1" applyFont="1" applyBorder="1" applyAlignment="1">
      <alignment horizontal="right" vertical="top" wrapText="1"/>
    </xf>
    <xf numFmtId="0" fontId="13" fillId="0" borderId="0" xfId="4" applyFont="1"/>
    <xf numFmtId="164" fontId="15" fillId="0" borderId="0" xfId="3" applyNumberFormat="1" applyFont="1" applyAlignment="1">
      <alignment horizontal="center" vertical="top" wrapText="1"/>
    </xf>
    <xf numFmtId="164" fontId="4" fillId="0" borderId="4" xfId="3" applyNumberFormat="1" applyFont="1" applyBorder="1" applyAlignment="1">
      <alignment horizontal="center" vertical="top" wrapText="1"/>
    </xf>
    <xf numFmtId="164" fontId="7" fillId="0" borderId="1" xfId="3" applyNumberFormat="1" applyFont="1" applyFill="1" applyBorder="1" applyAlignment="1">
      <alignment horizontal="center" vertical="top" wrapText="1"/>
    </xf>
    <xf numFmtId="164" fontId="7" fillId="0" borderId="0" xfId="3" applyNumberFormat="1" applyFont="1" applyFill="1" applyBorder="1" applyAlignment="1">
      <alignment horizontal="center" vertical="top" wrapText="1"/>
    </xf>
    <xf numFmtId="164" fontId="7" fillId="0" borderId="0" xfId="3" applyNumberFormat="1" applyFont="1" applyFill="1" applyAlignment="1">
      <alignment horizontal="center" vertical="top" wrapText="1"/>
    </xf>
    <xf numFmtId="164" fontId="7" fillId="2" borderId="0" xfId="3" applyNumberFormat="1" applyFont="1" applyFill="1" applyAlignment="1">
      <alignment horizontal="center" vertical="top" wrapText="1"/>
    </xf>
    <xf numFmtId="164" fontId="16" fillId="0" borderId="1" xfId="3" applyNumberFormat="1" applyFont="1" applyFill="1" applyBorder="1" applyAlignment="1">
      <alignment horizontal="center" vertical="top" wrapText="1"/>
    </xf>
    <xf numFmtId="0" fontId="17" fillId="0" borderId="0" xfId="2" applyFont="1"/>
    <xf numFmtId="164" fontId="4" fillId="0" borderId="0" xfId="3" applyNumberFormat="1" applyFont="1" applyBorder="1" applyAlignment="1">
      <alignment horizontal="center" vertical="top" wrapText="1"/>
    </xf>
    <xf numFmtId="164" fontId="4" fillId="0" borderId="2" xfId="3" applyNumberFormat="1" applyFont="1" applyBorder="1" applyAlignment="1">
      <alignment horizontal="center" vertical="top" wrapText="1"/>
    </xf>
    <xf numFmtId="164" fontId="4" fillId="0" borderId="1" xfId="3" applyNumberFormat="1" applyFont="1" applyFill="1" applyBorder="1" applyAlignment="1">
      <alignment horizontal="center" vertical="top" wrapText="1"/>
    </xf>
    <xf numFmtId="0" fontId="16" fillId="0" borderId="0" xfId="2" applyFont="1" applyAlignment="1">
      <alignment vertical="top" wrapText="1"/>
    </xf>
    <xf numFmtId="0" fontId="15" fillId="0" borderId="0" xfId="2" applyFont="1" applyAlignment="1">
      <alignment vertical="top" wrapText="1"/>
    </xf>
    <xf numFmtId="0" fontId="17" fillId="0" borderId="0" xfId="2" applyFont="1" applyAlignment="1">
      <alignment horizontal="center"/>
    </xf>
    <xf numFmtId="164" fontId="15" fillId="0" borderId="0" xfId="3" applyNumberFormat="1" applyFont="1" applyBorder="1" applyAlignment="1">
      <alignment horizontal="center" vertical="top" wrapText="1"/>
    </xf>
    <xf numFmtId="164" fontId="16" fillId="0" borderId="0" xfId="3" applyNumberFormat="1" applyFont="1" applyBorder="1" applyAlignment="1">
      <alignment horizontal="center" vertical="top" wrapText="1"/>
    </xf>
    <xf numFmtId="164" fontId="3" fillId="0" borderId="0" xfId="1" applyNumberFormat="1" applyFont="1"/>
    <xf numFmtId="164" fontId="18" fillId="0" borderId="0" xfId="1" applyNumberFormat="1" applyFont="1"/>
    <xf numFmtId="0" fontId="20" fillId="0" borderId="11" xfId="4" applyFont="1" applyBorder="1"/>
    <xf numFmtId="0" fontId="20" fillId="0" borderId="0" xfId="4" applyFont="1"/>
    <xf numFmtId="0" fontId="20" fillId="0" borderId="10" xfId="4" applyFont="1" applyBorder="1"/>
    <xf numFmtId="0" fontId="21" fillId="0" borderId="11" xfId="4" applyFont="1" applyBorder="1"/>
    <xf numFmtId="164" fontId="21" fillId="2" borderId="0" xfId="4" applyNumberFormat="1" applyFont="1" applyFill="1"/>
    <xf numFmtId="0" fontId="21" fillId="0" borderId="0" xfId="4" applyFont="1"/>
    <xf numFmtId="164" fontId="20" fillId="0" borderId="0" xfId="1" applyNumberFormat="1" applyFont="1" applyBorder="1"/>
    <xf numFmtId="43" fontId="21" fillId="2" borderId="0" xfId="4" applyNumberFormat="1" applyFont="1" applyFill="1"/>
    <xf numFmtId="164" fontId="20" fillId="0" borderId="0" xfId="4" applyNumberFormat="1" applyFont="1"/>
    <xf numFmtId="164" fontId="20" fillId="0" borderId="3" xfId="4" applyNumberFormat="1" applyFont="1" applyBorder="1"/>
    <xf numFmtId="164" fontId="21" fillId="0" borderId="0" xfId="4" applyNumberFormat="1" applyFont="1"/>
    <xf numFmtId="43" fontId="22" fillId="0" borderId="0" xfId="1" applyFont="1" applyBorder="1"/>
    <xf numFmtId="0" fontId="21" fillId="0" borderId="13" xfId="4" applyFont="1" applyBorder="1"/>
    <xf numFmtId="0" fontId="20" fillId="0" borderId="1" xfId="4" applyFont="1" applyBorder="1"/>
    <xf numFmtId="164" fontId="22" fillId="0" borderId="0" xfId="1" applyNumberFormat="1" applyFont="1" applyBorder="1"/>
    <xf numFmtId="0" fontId="19" fillId="5" borderId="12" xfId="4" applyFont="1" applyFill="1" applyBorder="1" applyAlignment="1">
      <alignment horizontal="left" vertical="top" wrapText="1"/>
    </xf>
    <xf numFmtId="0" fontId="19" fillId="5" borderId="7" xfId="4" applyFont="1" applyFill="1" applyBorder="1" applyAlignment="1">
      <alignment horizontal="center" vertical="top" wrapText="1"/>
    </xf>
    <xf numFmtId="0" fontId="19" fillId="5" borderId="9" xfId="4" applyFont="1" applyFill="1" applyBorder="1" applyAlignment="1">
      <alignment horizontal="center" vertical="top" wrapText="1"/>
    </xf>
    <xf numFmtId="0" fontId="19" fillId="5" borderId="10" xfId="4" applyFont="1" applyFill="1" applyBorder="1" applyAlignment="1">
      <alignment horizontal="center"/>
    </xf>
    <xf numFmtId="0" fontId="19" fillId="5" borderId="14" xfId="4" applyFont="1" applyFill="1" applyBorder="1" applyAlignment="1">
      <alignment horizont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wrapText="1"/>
    </xf>
    <xf numFmtId="164" fontId="6" fillId="3" borderId="0" xfId="2" applyNumberFormat="1" applyFont="1" applyFill="1"/>
    <xf numFmtId="0" fontId="25" fillId="0" borderId="0" xfId="4" applyFont="1" applyAlignment="1">
      <alignment horizontal="justify" vertical="top" wrapText="1"/>
    </xf>
    <xf numFmtId="0" fontId="19" fillId="6" borderId="0" xfId="4" applyFont="1" applyFill="1" applyAlignment="1">
      <alignment horizontal="center" vertical="top" wrapText="1"/>
    </xf>
    <xf numFmtId="0" fontId="20" fillId="0" borderId="0" xfId="4" applyFont="1" applyAlignment="1">
      <alignment horizontal="center"/>
    </xf>
    <xf numFmtId="0" fontId="26" fillId="0" borderId="0" xfId="4" applyFont="1"/>
    <xf numFmtId="0" fontId="26" fillId="0" borderId="0" xfId="4" applyFont="1" applyAlignment="1">
      <alignment horizontal="center"/>
    </xf>
    <xf numFmtId="164" fontId="26" fillId="0" borderId="0" xfId="4" applyNumberFormat="1" applyFont="1" applyAlignment="1">
      <alignment horizontal="center"/>
    </xf>
    <xf numFmtId="0" fontId="21" fillId="0" borderId="0" xfId="4" applyFont="1" applyAlignment="1">
      <alignment horizontal="center"/>
    </xf>
    <xf numFmtId="164" fontId="20" fillId="0" borderId="0" xfId="4" applyNumberFormat="1" applyFont="1" applyAlignment="1">
      <alignment horizontal="center"/>
    </xf>
    <xf numFmtId="0" fontId="25" fillId="0" borderId="0" xfId="4" applyFont="1" applyAlignment="1">
      <alignment horizontal="right"/>
    </xf>
    <xf numFmtId="0" fontId="26" fillId="0" borderId="0" xfId="4" applyFont="1" applyAlignment="1">
      <alignment horizontal="right" vertical="top" wrapText="1"/>
    </xf>
    <xf numFmtId="164" fontId="26" fillId="2" borderId="0" xfId="4" applyNumberFormat="1" applyFont="1" applyFill="1" applyAlignment="1">
      <alignment horizontal="center"/>
    </xf>
    <xf numFmtId="164" fontId="27" fillId="2" borderId="0" xfId="4" applyNumberFormat="1" applyFont="1" applyFill="1" applyAlignment="1">
      <alignment horizontal="center"/>
    </xf>
    <xf numFmtId="0" fontId="25" fillId="0" borderId="0" xfId="4" applyFont="1"/>
    <xf numFmtId="164" fontId="25" fillId="0" borderId="0" xfId="4" applyNumberFormat="1" applyFont="1" applyAlignment="1">
      <alignment horizontal="center"/>
    </xf>
    <xf numFmtId="0" fontId="26" fillId="0" borderId="0" xfId="4" applyFont="1" applyAlignment="1">
      <alignment horizontal="right"/>
    </xf>
    <xf numFmtId="0" fontId="25" fillId="0" borderId="0" xfId="4" applyFont="1" applyAlignment="1">
      <alignment horizontal="left"/>
    </xf>
    <xf numFmtId="164" fontId="19" fillId="5" borderId="5" xfId="4" applyNumberFormat="1" applyFont="1" applyFill="1" applyBorder="1" applyAlignment="1">
      <alignment horizontal="center"/>
    </xf>
    <xf numFmtId="164" fontId="23" fillId="3" borderId="0" xfId="4" applyNumberFormat="1" applyFont="1" applyFill="1" applyAlignment="1">
      <alignment horizontal="center"/>
    </xf>
    <xf numFmtId="0" fontId="19" fillId="7" borderId="0" xfId="4" applyFont="1" applyFill="1" applyAlignment="1">
      <alignment horizontal="justify" vertical="top" wrapText="1"/>
    </xf>
    <xf numFmtId="0" fontId="19" fillId="7" borderId="0" xfId="4" applyFont="1" applyFill="1" applyAlignment="1">
      <alignment horizontal="center" vertical="top" wrapText="1"/>
    </xf>
    <xf numFmtId="0" fontId="21" fillId="0" borderId="0" xfId="4" applyFont="1" applyAlignment="1">
      <alignment horizontal="justify" vertical="top" wrapText="1"/>
    </xf>
    <xf numFmtId="0" fontId="21" fillId="0" borderId="0" xfId="4" applyFont="1" applyAlignment="1">
      <alignment horizontal="center" vertical="top" wrapText="1"/>
    </xf>
    <xf numFmtId="164" fontId="21" fillId="0" borderId="0" xfId="5" applyNumberFormat="1" applyFont="1" applyAlignment="1">
      <alignment horizontal="center" vertical="top" wrapText="1"/>
    </xf>
    <xf numFmtId="0" fontId="20" fillId="0" borderId="0" xfId="4" applyFont="1" applyAlignment="1">
      <alignment horizontal="justify" vertical="top" wrapText="1"/>
    </xf>
    <xf numFmtId="164" fontId="20" fillId="0" borderId="0" xfId="5" applyNumberFormat="1" applyFont="1" applyAlignment="1">
      <alignment horizontal="center" vertical="top" wrapText="1"/>
    </xf>
    <xf numFmtId="0" fontId="20" fillId="0" borderId="0" xfId="4" applyFont="1" applyAlignment="1">
      <alignment vertical="top" wrapText="1"/>
    </xf>
    <xf numFmtId="164" fontId="20" fillId="0" borderId="1" xfId="5" applyNumberFormat="1" applyFont="1" applyBorder="1" applyAlignment="1">
      <alignment horizontal="center" vertical="top" wrapText="1"/>
    </xf>
    <xf numFmtId="164" fontId="21" fillId="0" borderId="1" xfId="5" applyNumberFormat="1" applyFont="1" applyBorder="1" applyAlignment="1">
      <alignment horizontal="center" vertical="top" wrapText="1"/>
    </xf>
    <xf numFmtId="164" fontId="20" fillId="2" borderId="0" xfId="5" applyNumberFormat="1" applyFont="1" applyFill="1" applyAlignment="1">
      <alignment horizontal="center" vertical="top" wrapText="1"/>
    </xf>
    <xf numFmtId="164" fontId="21" fillId="0" borderId="2" xfId="5" applyNumberFormat="1" applyFont="1" applyBorder="1" applyAlignment="1">
      <alignment horizontal="center" vertical="top" wrapText="1"/>
    </xf>
    <xf numFmtId="164" fontId="23" fillId="3" borderId="0" xfId="5" applyNumberFormat="1" applyFont="1" applyFill="1" applyAlignment="1">
      <alignment horizontal="center" vertical="top" wrapText="1"/>
    </xf>
    <xf numFmtId="0" fontId="21" fillId="0" borderId="5" xfId="4" applyFont="1" applyBorder="1" applyAlignment="1">
      <alignment vertical="top" wrapText="1"/>
    </xf>
    <xf numFmtId="0" fontId="21" fillId="0" borderId="0" xfId="4" applyFont="1" applyAlignment="1">
      <alignment vertical="top" wrapText="1"/>
    </xf>
    <xf numFmtId="0" fontId="25" fillId="0" borderId="0" xfId="4" applyFont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164" fontId="21" fillId="3" borderId="0" xfId="5" applyNumberFormat="1" applyFont="1" applyFill="1" applyAlignment="1">
      <alignment horizontal="center" vertical="top" wrapText="1"/>
    </xf>
    <xf numFmtId="164" fontId="20" fillId="0" borderId="0" xfId="5" applyNumberFormat="1" applyFont="1" applyAlignment="1">
      <alignment horizontal="center"/>
    </xf>
    <xf numFmtId="0" fontId="1" fillId="0" borderId="0" xfId="4" applyFont="1" applyAlignment="1">
      <alignment vertical="center" wrapText="1"/>
    </xf>
    <xf numFmtId="0" fontId="20" fillId="0" borderId="0" xfId="2" applyFont="1" applyAlignment="1">
      <alignment horizontal="center" vertical="top" wrapText="1"/>
    </xf>
    <xf numFmtId="164" fontId="20" fillId="0" borderId="0" xfId="5" applyNumberFormat="1" applyFont="1" applyFill="1" applyAlignment="1">
      <alignment horizontal="center" vertical="top" wrapText="1"/>
    </xf>
    <xf numFmtId="0" fontId="20" fillId="4" borderId="0" xfId="4" applyFont="1" applyFill="1"/>
    <xf numFmtId="0" fontId="20" fillId="0" borderId="0" xfId="2" applyFont="1" applyAlignment="1">
      <alignment horizontal="justify" vertical="top" wrapText="1"/>
    </xf>
    <xf numFmtId="164" fontId="20" fillId="2" borderId="1" xfId="5" applyNumberFormat="1" applyFont="1" applyFill="1" applyBorder="1" applyAlignment="1">
      <alignment horizontal="center" vertical="top" wrapText="1"/>
    </xf>
    <xf numFmtId="0" fontId="3" fillId="0" borderId="0" xfId="0" applyFont="1"/>
    <xf numFmtId="43" fontId="0" fillId="0" borderId="0" xfId="1" applyFont="1"/>
    <xf numFmtId="0" fontId="19" fillId="5" borderId="0" xfId="0" applyFont="1" applyFill="1"/>
    <xf numFmtId="0" fontId="24" fillId="5" borderId="0" xfId="0" applyFont="1" applyFill="1"/>
    <xf numFmtId="164" fontId="19" fillId="5" borderId="0" xfId="1" applyNumberFormat="1" applyFont="1" applyFill="1"/>
    <xf numFmtId="43" fontId="21" fillId="2" borderId="0" xfId="4" applyNumberFormat="1" applyFont="1" applyFill="1" applyAlignment="1">
      <alignment horizontal="center"/>
    </xf>
    <xf numFmtId="164" fontId="21" fillId="0" borderId="5" xfId="4" applyNumberFormat="1" applyFont="1" applyBorder="1"/>
    <xf numFmtId="164" fontId="20" fillId="0" borderId="0" xfId="1" applyNumberFormat="1" applyFont="1"/>
    <xf numFmtId="0" fontId="26" fillId="0" borderId="0" xfId="4" applyFont="1" applyAlignment="1">
      <alignment horizontal="left"/>
    </xf>
    <xf numFmtId="164" fontId="3" fillId="0" borderId="5" xfId="0" applyNumberFormat="1" applyFont="1" applyBorder="1"/>
    <xf numFmtId="164" fontId="3" fillId="0" borderId="0" xfId="0" applyNumberFormat="1" applyFont="1"/>
    <xf numFmtId="0" fontId="19" fillId="5" borderId="0" xfId="0" applyFont="1" applyFill="1" applyAlignment="1">
      <alignment horizontal="center"/>
    </xf>
    <xf numFmtId="0" fontId="19" fillId="5" borderId="0" xfId="0" applyFont="1" applyFill="1" applyAlignment="1">
      <alignment horizontal="right"/>
    </xf>
    <xf numFmtId="0" fontId="0" fillId="0" borderId="0" xfId="0" applyAlignment="1">
      <alignment horizontal="left"/>
    </xf>
    <xf numFmtId="164" fontId="3" fillId="0" borderId="5" xfId="1" applyNumberFormat="1" applyFont="1" applyBorder="1"/>
    <xf numFmtId="9" fontId="19" fillId="5" borderId="0" xfId="10" applyFont="1" applyFill="1" applyAlignment="1">
      <alignment horizontal="center"/>
    </xf>
    <xf numFmtId="14" fontId="3" fillId="2" borderId="0" xfId="0" quotePrefix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0" fillId="2" borderId="0" xfId="1" applyNumberFormat="1" applyFont="1" applyFill="1" applyAlignment="1">
      <alignment horizontal="center"/>
    </xf>
    <xf numFmtId="43" fontId="6" fillId="0" borderId="0" xfId="2" applyNumberFormat="1" applyFont="1"/>
    <xf numFmtId="164" fontId="5" fillId="2" borderId="0" xfId="2" applyNumberFormat="1" applyFont="1" applyFill="1"/>
    <xf numFmtId="164" fontId="6" fillId="2" borderId="0" xfId="2" applyNumberFormat="1" applyFont="1" applyFill="1"/>
    <xf numFmtId="0" fontId="6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5" fillId="0" borderId="0" xfId="2" applyFont="1" applyAlignment="1">
      <alignment horizontal="left"/>
    </xf>
    <xf numFmtId="14" fontId="28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/>
    <xf numFmtId="43" fontId="0" fillId="0" borderId="0" xfId="0" applyNumberFormat="1"/>
    <xf numFmtId="0" fontId="3" fillId="8" borderId="18" xfId="0" applyFont="1" applyFill="1" applyBorder="1"/>
    <xf numFmtId="0" fontId="0" fillId="0" borderId="11" xfId="0" applyBorder="1"/>
    <xf numFmtId="0" fontId="0" fillId="0" borderId="10" xfId="0" applyBorder="1"/>
    <xf numFmtId="0" fontId="24" fillId="5" borderId="11" xfId="0" applyFont="1" applyFill="1" applyBorder="1"/>
    <xf numFmtId="0" fontId="24" fillId="5" borderId="10" xfId="0" applyFont="1" applyFill="1" applyBorder="1"/>
    <xf numFmtId="43" fontId="0" fillId="0" borderId="18" xfId="1" applyFont="1" applyBorder="1"/>
    <xf numFmtId="43" fontId="0" fillId="0" borderId="19" xfId="1" applyFont="1" applyBorder="1"/>
    <xf numFmtId="43" fontId="0" fillId="8" borderId="18" xfId="1" applyFont="1" applyFill="1" applyBorder="1"/>
    <xf numFmtId="43" fontId="0" fillId="8" borderId="19" xfId="1" applyFont="1" applyFill="1" applyBorder="1"/>
    <xf numFmtId="0" fontId="0" fillId="0" borderId="16" xfId="0" applyBorder="1"/>
    <xf numFmtId="0" fontId="24" fillId="5" borderId="16" xfId="0" applyFont="1" applyFill="1" applyBorder="1"/>
    <xf numFmtId="165" fontId="0" fillId="0" borderId="16" xfId="0" applyNumberFormat="1" applyBorder="1"/>
    <xf numFmtId="165" fontId="0" fillId="0" borderId="17" xfId="0" applyNumberFormat="1" applyBorder="1"/>
    <xf numFmtId="165" fontId="24" fillId="5" borderId="16" xfId="0" applyNumberFormat="1" applyFont="1" applyFill="1" applyBorder="1"/>
    <xf numFmtId="0" fontId="28" fillId="0" borderId="18" xfId="0" applyFont="1" applyBorder="1" applyAlignment="1">
      <alignment horizontal="center" vertical="center" wrapText="1"/>
    </xf>
    <xf numFmtId="0" fontId="0" fillId="0" borderId="17" xfId="0" applyBorder="1"/>
    <xf numFmtId="14" fontId="28" fillId="0" borderId="14" xfId="0" applyNumberFormat="1" applyFont="1" applyBorder="1" applyAlignment="1">
      <alignment horizontal="center" vertical="center" wrapText="1"/>
    </xf>
    <xf numFmtId="14" fontId="28" fillId="0" borderId="19" xfId="0" applyNumberFormat="1" applyFont="1" applyBorder="1" applyAlignment="1">
      <alignment horizontal="center" vertical="center" wrapText="1"/>
    </xf>
    <xf numFmtId="0" fontId="19" fillId="5" borderId="11" xfId="0" applyFont="1" applyFill="1" applyBorder="1"/>
    <xf numFmtId="165" fontId="0" fillId="0" borderId="10" xfId="0" applyNumberFormat="1" applyBorder="1"/>
    <xf numFmtId="165" fontId="0" fillId="0" borderId="19" xfId="0" applyNumberFormat="1" applyBorder="1"/>
    <xf numFmtId="165" fontId="24" fillId="5" borderId="10" xfId="0" applyNumberFormat="1" applyFont="1" applyFill="1" applyBorder="1"/>
    <xf numFmtId="43" fontId="0" fillId="8" borderId="17" xfId="1" applyFont="1" applyFill="1" applyBorder="1"/>
    <xf numFmtId="165" fontId="0" fillId="8" borderId="17" xfId="1" applyNumberFormat="1" applyFont="1" applyFill="1" applyBorder="1"/>
    <xf numFmtId="165" fontId="0" fillId="8" borderId="19" xfId="1" applyNumberFormat="1" applyFont="1" applyFill="1" applyBorder="1"/>
    <xf numFmtId="43" fontId="0" fillId="0" borderId="17" xfId="1" applyFont="1" applyBorder="1"/>
    <xf numFmtId="14" fontId="28" fillId="0" borderId="13" xfId="0" applyNumberFormat="1" applyFont="1" applyBorder="1" applyAlignment="1">
      <alignment horizontal="center" vertical="center" wrapText="1"/>
    </xf>
    <xf numFmtId="0" fontId="1" fillId="0" borderId="0" xfId="4" applyFont="1" applyAlignment="1">
      <alignment horizontal="left" vertical="center" wrapText="1"/>
    </xf>
    <xf numFmtId="0" fontId="1" fillId="0" borderId="0" xfId="4" applyFont="1" applyAlignment="1">
      <alignment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14" fontId="28" fillId="0" borderId="20" xfId="0" applyNumberFormat="1" applyFont="1" applyBorder="1" applyAlignment="1">
      <alignment horizontal="center" vertical="center" wrapText="1"/>
    </xf>
    <xf numFmtId="14" fontId="28" fillId="0" borderId="9" xfId="0" applyNumberFormat="1" applyFont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14" fontId="28" fillId="0" borderId="22" xfId="0" applyNumberFormat="1" applyFont="1" applyBorder="1" applyAlignment="1">
      <alignment horizontal="center" vertical="center" wrapText="1"/>
    </xf>
    <xf numFmtId="14" fontId="28" fillId="0" borderId="23" xfId="0" applyNumberFormat="1" applyFont="1" applyBorder="1" applyAlignment="1">
      <alignment horizontal="center" vertical="center" wrapText="1"/>
    </xf>
    <xf numFmtId="164" fontId="23" fillId="9" borderId="11" xfId="0" applyNumberFormat="1" applyFont="1" applyFill="1" applyBorder="1"/>
    <xf numFmtId="0" fontId="23" fillId="9" borderId="11" xfId="0" applyFont="1" applyFill="1" applyBorder="1"/>
    <xf numFmtId="0" fontId="23" fillId="9" borderId="16" xfId="0" applyFont="1" applyFill="1" applyBorder="1"/>
    <xf numFmtId="165" fontId="23" fillId="9" borderId="16" xfId="0" applyNumberFormat="1" applyFont="1" applyFill="1" applyBorder="1"/>
    <xf numFmtId="165" fontId="23" fillId="9" borderId="10" xfId="0" applyNumberFormat="1" applyFont="1" applyFill="1" applyBorder="1" applyAlignment="1">
      <alignment horizontal="right"/>
    </xf>
    <xf numFmtId="164" fontId="23" fillId="9" borderId="25" xfId="0" applyNumberFormat="1" applyFont="1" applyFill="1" applyBorder="1"/>
    <xf numFmtId="43" fontId="0" fillId="8" borderId="5" xfId="1" applyFont="1" applyFill="1" applyBorder="1"/>
    <xf numFmtId="0" fontId="23" fillId="9" borderId="13" xfId="0" applyFont="1" applyFill="1" applyBorder="1"/>
    <xf numFmtId="0" fontId="23" fillId="9" borderId="20" xfId="0" applyFont="1" applyFill="1" applyBorder="1"/>
    <xf numFmtId="165" fontId="23" fillId="9" borderId="20" xfId="0" applyNumberFormat="1" applyFont="1" applyFill="1" applyBorder="1"/>
    <xf numFmtId="165" fontId="23" fillId="9" borderId="14" xfId="0" applyNumberFormat="1" applyFont="1" applyFill="1" applyBorder="1" applyAlignment="1">
      <alignment horizontal="right"/>
    </xf>
    <xf numFmtId="164" fontId="23" fillId="9" borderId="13" xfId="0" applyNumberFormat="1" applyFont="1" applyFill="1" applyBorder="1"/>
    <xf numFmtId="164" fontId="23" fillId="9" borderId="26" xfId="0" applyNumberFormat="1" applyFont="1" applyFill="1" applyBorder="1"/>
    <xf numFmtId="0" fontId="19" fillId="6" borderId="13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19" fillId="6" borderId="14" xfId="0" applyFont="1" applyFill="1" applyBorder="1" applyAlignment="1">
      <alignment horizontal="center"/>
    </xf>
  </cellXfs>
  <cellStyles count="11">
    <cellStyle name="Comma" xfId="1" builtinId="3"/>
    <cellStyle name="Comma 2" xfId="3" xr:uid="{ACA980A4-B342-42DB-BF36-77B5F971967A}"/>
    <cellStyle name="Comma 2 2" xfId="5" xr:uid="{EA4E1A3C-4DBD-464D-B041-FC1CEB99BF8F}"/>
    <cellStyle name="Comma 2 3" xfId="7" xr:uid="{68D940D0-464F-4DAF-ADCB-3055D10A5EF2}"/>
    <cellStyle name="Comma 3" xfId="9" xr:uid="{D05CDBC0-4997-435B-B030-467F61366DEE}"/>
    <cellStyle name="Normal" xfId="0" builtinId="0"/>
    <cellStyle name="Normal 2" xfId="2" xr:uid="{0F9121F3-47B5-4AB8-A8F2-BE7CB5D82676}"/>
    <cellStyle name="Normal 2 2" xfId="4" xr:uid="{E66349D8-6990-466C-84FD-CCFBBC803C3A}"/>
    <cellStyle name="Normal 2 3" xfId="6" xr:uid="{91DAFE72-A1BD-4747-9E36-314E3EDEBB7E}"/>
    <cellStyle name="Normal 3" xfId="8" xr:uid="{81D215D6-D46F-47E0-ACAD-41F35D73E983}"/>
    <cellStyle name="Perc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7B3E-E934-48B6-8B41-05214611C6EA}">
  <sheetPr>
    <tabColor theme="4" tint="-0.499984740745262"/>
  </sheetPr>
  <dimension ref="A1:M131"/>
  <sheetViews>
    <sheetView zoomScale="85" zoomScaleNormal="85" workbookViewId="0">
      <pane xSplit="3" ySplit="2" topLeftCell="D3" activePane="bottomRight" state="frozen"/>
      <selection activeCell="H26" sqref="H26"/>
      <selection pane="topRight" activeCell="H26" sqref="H26"/>
      <selection pane="bottomLeft" activeCell="H26" sqref="H26"/>
      <selection pane="bottomRight" activeCell="B73" activeCellId="1" sqref="B72 B73"/>
    </sheetView>
  </sheetViews>
  <sheetFormatPr defaultColWidth="8.26953125" defaultRowHeight="13" x14ac:dyDescent="0.3"/>
  <cols>
    <col min="1" max="1" width="11" style="5" bestFit="1" customWidth="1"/>
    <col min="2" max="2" width="47.1796875" style="5" customWidth="1"/>
    <col min="3" max="3" width="5.1796875" style="3" customWidth="1"/>
    <col min="4" max="6" width="16.90625" style="4" bestFit="1" customWidth="1"/>
    <col min="7" max="7" width="8.26953125" style="5"/>
    <col min="8" max="8" width="10" style="5" bestFit="1" customWidth="1"/>
    <col min="9" max="9" width="55.453125" style="5" customWidth="1"/>
    <col min="10" max="16384" width="8.26953125" style="5"/>
  </cols>
  <sheetData>
    <row r="1" spans="2:7" ht="14" x14ac:dyDescent="0.3">
      <c r="B1" s="2" t="s">
        <v>1</v>
      </c>
    </row>
    <row r="2" spans="2:7" ht="14" x14ac:dyDescent="0.3">
      <c r="B2" s="6"/>
      <c r="C2" s="7" t="s">
        <v>2</v>
      </c>
      <c r="D2" s="7">
        <v>2020</v>
      </c>
      <c r="E2" s="7">
        <v>2021</v>
      </c>
      <c r="F2" s="7">
        <v>2022</v>
      </c>
    </row>
    <row r="3" spans="2:7" ht="14" x14ac:dyDescent="0.3">
      <c r="B3" s="6"/>
      <c r="C3" s="7"/>
      <c r="D3" s="18"/>
      <c r="E3" s="18"/>
      <c r="F3" s="18"/>
    </row>
    <row r="4" spans="2:7" ht="14" x14ac:dyDescent="0.3">
      <c r="B4" s="6" t="s">
        <v>3</v>
      </c>
      <c r="C4" s="7"/>
      <c r="D4" s="12"/>
      <c r="E4" s="12"/>
      <c r="F4" s="12"/>
    </row>
    <row r="5" spans="2:7" ht="14" x14ac:dyDescent="0.3">
      <c r="B5" s="9" t="s">
        <v>4</v>
      </c>
      <c r="C5" s="7"/>
      <c r="D5" s="12">
        <v>590000</v>
      </c>
      <c r="E5" s="12">
        <v>380000</v>
      </c>
      <c r="F5" s="12">
        <v>1090000</v>
      </c>
    </row>
    <row r="6" spans="2:7" ht="14" x14ac:dyDescent="0.3">
      <c r="B6" s="9" t="s">
        <v>5</v>
      </c>
      <c r="C6" s="7">
        <v>3</v>
      </c>
      <c r="D6" s="12">
        <v>2840000</v>
      </c>
      <c r="E6" s="12">
        <v>5400000</v>
      </c>
      <c r="F6" s="12">
        <v>7090000</v>
      </c>
    </row>
    <row r="7" spans="2:7" ht="14" x14ac:dyDescent="0.3">
      <c r="B7" s="9" t="s">
        <v>6</v>
      </c>
      <c r="C7" s="7"/>
      <c r="D7" s="12">
        <v>4750000</v>
      </c>
      <c r="E7" s="12">
        <v>5860000</v>
      </c>
      <c r="F7" s="12">
        <v>5270000</v>
      </c>
    </row>
    <row r="8" spans="2:7" ht="14" x14ac:dyDescent="0.3">
      <c r="B8" s="9" t="s">
        <v>7</v>
      </c>
      <c r="C8" s="7"/>
      <c r="D8" s="12">
        <v>10000</v>
      </c>
      <c r="E8" s="12">
        <v>30000</v>
      </c>
      <c r="F8" s="12">
        <v>50000</v>
      </c>
    </row>
    <row r="9" spans="2:7" ht="14" x14ac:dyDescent="0.3">
      <c r="B9" s="9" t="s">
        <v>8</v>
      </c>
      <c r="C9" s="7">
        <v>4</v>
      </c>
      <c r="D9" s="12">
        <v>16880000</v>
      </c>
      <c r="E9" s="12">
        <v>12000000</v>
      </c>
      <c r="F9" s="12">
        <v>13720000</v>
      </c>
    </row>
    <row r="10" spans="2:7" ht="14" x14ac:dyDescent="0.3">
      <c r="B10" s="10" t="s">
        <v>9</v>
      </c>
      <c r="C10" s="7"/>
      <c r="D10" s="12">
        <v>210000</v>
      </c>
      <c r="E10" s="12">
        <v>0</v>
      </c>
      <c r="F10" s="12">
        <v>0</v>
      </c>
    </row>
    <row r="11" spans="2:7" ht="14.5" thickBot="1" x14ac:dyDescent="0.35">
      <c r="B11" s="9" t="s">
        <v>10</v>
      </c>
      <c r="C11" s="7">
        <v>5</v>
      </c>
      <c r="D11" s="39">
        <v>430000</v>
      </c>
      <c r="E11" s="39">
        <v>270000</v>
      </c>
      <c r="F11" s="39">
        <v>1250000</v>
      </c>
    </row>
    <row r="12" spans="2:7" ht="14.5" thickBot="1" x14ac:dyDescent="0.35">
      <c r="B12" s="6" t="s">
        <v>11</v>
      </c>
      <c r="C12" s="7"/>
      <c r="D12" s="47">
        <f>SUM(D5:D11)</f>
        <v>25710000</v>
      </c>
      <c r="E12" s="47">
        <f>SUM(E5:E11)</f>
        <v>23940000</v>
      </c>
      <c r="F12" s="47">
        <f>SUM(F5:F11)</f>
        <v>28470000</v>
      </c>
      <c r="G12" s="34"/>
    </row>
    <row r="13" spans="2:7" ht="14" x14ac:dyDescent="0.3">
      <c r="B13" s="6"/>
      <c r="C13" s="7"/>
      <c r="D13" s="40"/>
      <c r="E13" s="40"/>
      <c r="F13" s="40"/>
    </row>
    <row r="14" spans="2:7" ht="14" x14ac:dyDescent="0.3">
      <c r="B14" s="6" t="s">
        <v>12</v>
      </c>
      <c r="C14" s="7"/>
      <c r="D14" s="41"/>
      <c r="E14" s="41"/>
      <c r="F14" s="41"/>
    </row>
    <row r="15" spans="2:7" ht="28" x14ac:dyDescent="0.3">
      <c r="B15" s="9" t="s">
        <v>13</v>
      </c>
      <c r="C15" s="7">
        <v>6</v>
      </c>
      <c r="D15" s="41">
        <v>-810000</v>
      </c>
      <c r="E15" s="41">
        <v>-1060000</v>
      </c>
      <c r="F15" s="41">
        <v>-1060000</v>
      </c>
    </row>
    <row r="16" spans="2:7" ht="14" x14ac:dyDescent="0.3">
      <c r="B16" s="9" t="s">
        <v>14</v>
      </c>
      <c r="C16" s="7">
        <v>7</v>
      </c>
      <c r="D16" s="41">
        <v>-25290000</v>
      </c>
      <c r="E16" s="41">
        <v>-23500000</v>
      </c>
      <c r="F16" s="41">
        <v>-19500000</v>
      </c>
      <c r="G16" s="140"/>
    </row>
    <row r="17" spans="1:7" ht="28" x14ac:dyDescent="0.3">
      <c r="B17" s="9" t="s">
        <v>15</v>
      </c>
      <c r="C17" s="7"/>
      <c r="D17" s="41">
        <v>-840000</v>
      </c>
      <c r="E17" s="41">
        <v>-1040000</v>
      </c>
      <c r="F17" s="41">
        <v>-1190000</v>
      </c>
    </row>
    <row r="18" spans="1:7" ht="29.5" customHeight="1" x14ac:dyDescent="0.3">
      <c r="B18" s="9" t="s">
        <v>16</v>
      </c>
      <c r="C18" s="7"/>
      <c r="D18" s="41">
        <v>-10000</v>
      </c>
      <c r="E18" s="41">
        <v>-10000</v>
      </c>
      <c r="F18" s="41">
        <v>0</v>
      </c>
    </row>
    <row r="19" spans="1:7" ht="14.5" thickBot="1" x14ac:dyDescent="0.35">
      <c r="B19" s="9" t="s">
        <v>17</v>
      </c>
      <c r="C19" s="7">
        <v>8</v>
      </c>
      <c r="D19" s="39">
        <v>-6880000</v>
      </c>
      <c r="E19" s="39">
        <v>-8770000</v>
      </c>
      <c r="F19" s="39">
        <v>-10850000</v>
      </c>
    </row>
    <row r="20" spans="1:7" ht="14.5" thickBot="1" x14ac:dyDescent="0.35">
      <c r="B20" s="6" t="s">
        <v>18</v>
      </c>
      <c r="C20" s="7"/>
      <c r="D20" s="47">
        <f>SUM(D15:D19)</f>
        <v>-33830000</v>
      </c>
      <c r="E20" s="47">
        <f>SUM(E15:E19)</f>
        <v>-34380000</v>
      </c>
      <c r="F20" s="47">
        <f>SUM(F15:F19)</f>
        <v>-32600000</v>
      </c>
      <c r="G20" s="34"/>
    </row>
    <row r="21" spans="1:7" ht="14" x14ac:dyDescent="0.3">
      <c r="B21" s="6"/>
      <c r="C21" s="7"/>
      <c r="D21" s="40"/>
      <c r="E21" s="40"/>
      <c r="F21" s="40"/>
    </row>
    <row r="22" spans="1:7" ht="14" x14ac:dyDescent="0.3">
      <c r="B22" s="6" t="s">
        <v>19</v>
      </c>
      <c r="C22" s="7"/>
      <c r="D22" s="41"/>
      <c r="E22" s="41"/>
      <c r="F22" s="41"/>
    </row>
    <row r="23" spans="1:7" ht="28" x14ac:dyDescent="0.3">
      <c r="B23" s="9" t="s">
        <v>20</v>
      </c>
      <c r="C23" s="7">
        <v>9</v>
      </c>
      <c r="D23" s="41">
        <v>2130000</v>
      </c>
      <c r="E23" s="41">
        <v>340000</v>
      </c>
      <c r="F23" s="12">
        <v>1500000</v>
      </c>
    </row>
    <row r="24" spans="1:7" ht="31.5" customHeight="1" x14ac:dyDescent="0.3">
      <c r="B24" s="9" t="s">
        <v>21</v>
      </c>
      <c r="C24" s="7"/>
      <c r="D24" s="41">
        <v>-1500000</v>
      </c>
      <c r="E24" s="41">
        <v>-1350000</v>
      </c>
      <c r="F24" s="41">
        <v>-800000</v>
      </c>
    </row>
    <row r="25" spans="1:7" ht="28" x14ac:dyDescent="0.3">
      <c r="B25" s="9" t="s">
        <v>22</v>
      </c>
      <c r="C25" s="7"/>
      <c r="D25" s="41">
        <v>30000</v>
      </c>
      <c r="E25" s="41">
        <v>30000</v>
      </c>
      <c r="F25" s="41">
        <v>450000</v>
      </c>
    </row>
    <row r="26" spans="1:7" ht="28.5" thickBot="1" x14ac:dyDescent="0.35">
      <c r="B26" s="9" t="s">
        <v>23</v>
      </c>
      <c r="C26" s="7"/>
      <c r="D26" s="39">
        <v>-290000</v>
      </c>
      <c r="E26" s="39">
        <v>-220000</v>
      </c>
      <c r="F26" s="39">
        <v>-380000</v>
      </c>
    </row>
    <row r="27" spans="1:7" ht="14.5" thickBot="1" x14ac:dyDescent="0.35">
      <c r="A27" s="4"/>
      <c r="B27" s="6" t="s">
        <v>24</v>
      </c>
      <c r="C27" s="11"/>
      <c r="D27" s="43">
        <f>SUM(D23:D26)</f>
        <v>370000</v>
      </c>
      <c r="E27" s="43">
        <f>SUM(E23:E26)</f>
        <v>-1200000</v>
      </c>
      <c r="F27" s="43">
        <f>SUM(F23:F26)</f>
        <v>770000</v>
      </c>
      <c r="G27" s="44"/>
    </row>
    <row r="28" spans="1:7" x14ac:dyDescent="0.3">
      <c r="A28" s="4"/>
      <c r="C28" s="5"/>
      <c r="D28" s="5"/>
      <c r="E28" s="5"/>
      <c r="F28" s="5"/>
    </row>
    <row r="29" spans="1:7" ht="14" x14ac:dyDescent="0.3">
      <c r="A29" s="4"/>
      <c r="B29" s="6" t="s">
        <v>25</v>
      </c>
      <c r="C29" s="5"/>
      <c r="D29" s="5"/>
      <c r="E29" s="5"/>
      <c r="F29" s="5"/>
    </row>
    <row r="30" spans="1:7" ht="14" x14ac:dyDescent="0.3">
      <c r="B30" s="9" t="s">
        <v>26</v>
      </c>
      <c r="C30" s="7"/>
      <c r="D30" s="20">
        <v>60000</v>
      </c>
      <c r="E30" s="20">
        <v>0</v>
      </c>
      <c r="F30" s="20">
        <v>400000</v>
      </c>
    </row>
    <row r="31" spans="1:7" ht="14" x14ac:dyDescent="0.3">
      <c r="B31" s="9" t="s">
        <v>27</v>
      </c>
      <c r="C31" s="7">
        <v>10</v>
      </c>
      <c r="D31" s="12">
        <v>-410000</v>
      </c>
      <c r="E31" s="12">
        <v>-410000</v>
      </c>
      <c r="F31" s="12">
        <v>-270000</v>
      </c>
    </row>
    <row r="32" spans="1:7" s="11" customFormat="1" ht="14" x14ac:dyDescent="0.3">
      <c r="B32" s="9" t="s">
        <v>28</v>
      </c>
      <c r="C32" s="13"/>
      <c r="D32" s="14">
        <v>0</v>
      </c>
      <c r="E32" s="14">
        <v>0</v>
      </c>
      <c r="F32" s="14">
        <v>0</v>
      </c>
    </row>
    <row r="33" spans="1:13" ht="14.5" thickBot="1" x14ac:dyDescent="0.35">
      <c r="B33" s="9" t="s">
        <v>29</v>
      </c>
      <c r="C33" s="7">
        <v>11</v>
      </c>
      <c r="D33" s="12"/>
      <c r="E33" s="12"/>
      <c r="F33" s="12"/>
    </row>
    <row r="34" spans="1:13" ht="15" thickBot="1" x14ac:dyDescent="0.35">
      <c r="B34" s="6" t="s">
        <v>30</v>
      </c>
      <c r="C34" s="7"/>
      <c r="D34" s="46">
        <f>D27+D20+D12+SUM(D30:D33)</f>
        <v>-8100000</v>
      </c>
      <c r="E34" s="46">
        <f>E27+E20+E12+SUM(E30:E33)</f>
        <v>-12050000</v>
      </c>
      <c r="F34" s="46">
        <f>F27+F20+F12+SUM(F30:F33)</f>
        <v>-3230000</v>
      </c>
      <c r="G34" s="34"/>
      <c r="I34" s="178"/>
      <c r="J34" s="178"/>
      <c r="K34" s="178"/>
      <c r="L34" s="178"/>
      <c r="M34" s="178"/>
    </row>
    <row r="35" spans="1:13" ht="15" thickTop="1" x14ac:dyDescent="0.35">
      <c r="I35"/>
      <c r="J35"/>
      <c r="K35" s="76"/>
      <c r="L35" s="76"/>
      <c r="M35" s="76"/>
    </row>
    <row r="36" spans="1:13" ht="26" customHeight="1" x14ac:dyDescent="0.35">
      <c r="B36" s="178" t="s">
        <v>104</v>
      </c>
      <c r="C36" s="178"/>
      <c r="D36" s="178"/>
      <c r="E36" s="178"/>
      <c r="F36" s="178"/>
      <c r="I36" s="76"/>
      <c r="J36" s="76"/>
    </row>
    <row r="37" spans="1:13" ht="14.5" x14ac:dyDescent="0.35">
      <c r="B37"/>
      <c r="C37"/>
      <c r="D37" s="76"/>
      <c r="E37" s="76"/>
      <c r="F37" s="76"/>
    </row>
    <row r="38" spans="1:13" ht="14.5" x14ac:dyDescent="0.35">
      <c r="B38" s="76" t="s">
        <v>105</v>
      </c>
      <c r="C38" s="76"/>
      <c r="D38" s="5"/>
      <c r="E38" s="5"/>
      <c r="F38" s="5"/>
    </row>
    <row r="39" spans="1:13" x14ac:dyDescent="0.3">
      <c r="D39" s="17"/>
      <c r="E39" s="17"/>
      <c r="F39" s="17"/>
    </row>
    <row r="40" spans="1:13" ht="14" x14ac:dyDescent="0.3">
      <c r="A40" s="3"/>
      <c r="B40" s="145" t="s">
        <v>32</v>
      </c>
      <c r="D40" s="7">
        <v>2020</v>
      </c>
      <c r="E40" s="7">
        <v>2021</v>
      </c>
      <c r="F40" s="7">
        <v>2022</v>
      </c>
    </row>
    <row r="41" spans="1:13" ht="14" x14ac:dyDescent="0.3">
      <c r="B41" s="10"/>
      <c r="D41" s="18"/>
      <c r="E41" s="18"/>
      <c r="F41" s="18"/>
    </row>
    <row r="42" spans="1:13" ht="14" x14ac:dyDescent="0.3">
      <c r="B42" s="10" t="s">
        <v>33</v>
      </c>
      <c r="D42" s="12">
        <v>10000</v>
      </c>
      <c r="E42" s="12">
        <v>10000</v>
      </c>
      <c r="F42" s="12">
        <v>50000</v>
      </c>
    </row>
    <row r="43" spans="1:13" ht="14" x14ac:dyDescent="0.3">
      <c r="B43" s="10" t="s">
        <v>34</v>
      </c>
      <c r="D43" s="18"/>
      <c r="E43" s="18"/>
      <c r="F43" s="18"/>
    </row>
    <row r="44" spans="1:13" ht="14" x14ac:dyDescent="0.3">
      <c r="B44" s="10" t="s">
        <v>35</v>
      </c>
      <c r="D44" s="12">
        <v>0</v>
      </c>
      <c r="E44" s="12"/>
      <c r="F44" s="12"/>
    </row>
    <row r="45" spans="1:13" ht="14" x14ac:dyDescent="0.3">
      <c r="B45" s="10" t="s">
        <v>36</v>
      </c>
      <c r="D45" s="12"/>
      <c r="E45" s="12"/>
      <c r="F45" s="12"/>
    </row>
    <row r="46" spans="1:13" ht="14" x14ac:dyDescent="0.3">
      <c r="B46" s="10" t="s">
        <v>37</v>
      </c>
      <c r="D46" s="12"/>
      <c r="E46" s="12"/>
      <c r="F46" s="12"/>
    </row>
    <row r="47" spans="1:13" ht="14" x14ac:dyDescent="0.3">
      <c r="B47" s="10" t="s">
        <v>38</v>
      </c>
      <c r="D47" s="12">
        <v>0</v>
      </c>
      <c r="E47" s="12">
        <v>10000</v>
      </c>
      <c r="F47" s="12">
        <v>0</v>
      </c>
    </row>
    <row r="48" spans="1:13" ht="14" x14ac:dyDescent="0.3">
      <c r="B48" s="10" t="s">
        <v>182</v>
      </c>
      <c r="D48" s="12">
        <v>0</v>
      </c>
      <c r="E48" s="12">
        <v>60000</v>
      </c>
      <c r="F48" s="12">
        <v>10000</v>
      </c>
    </row>
    <row r="49" spans="1:9" ht="14" x14ac:dyDescent="0.3">
      <c r="B49" s="10" t="s">
        <v>40</v>
      </c>
      <c r="D49" s="12">
        <v>230000</v>
      </c>
      <c r="E49" s="12">
        <v>0</v>
      </c>
      <c r="F49" s="12">
        <v>0</v>
      </c>
    </row>
    <row r="50" spans="1:9" ht="14" x14ac:dyDescent="0.3">
      <c r="B50" s="10" t="s">
        <v>183</v>
      </c>
      <c r="D50" s="12">
        <v>10000</v>
      </c>
      <c r="E50" s="12">
        <v>120000</v>
      </c>
      <c r="F50" s="12">
        <v>1000000</v>
      </c>
    </row>
    <row r="51" spans="1:9" ht="14.5" thickBot="1" x14ac:dyDescent="0.35">
      <c r="B51" s="10" t="s">
        <v>31</v>
      </c>
      <c r="D51" s="16">
        <v>180000</v>
      </c>
      <c r="E51" s="16">
        <v>70000</v>
      </c>
      <c r="F51" s="16">
        <v>190000</v>
      </c>
    </row>
    <row r="52" spans="1:9" ht="14" x14ac:dyDescent="0.3">
      <c r="B52" s="15"/>
      <c r="D52" s="12"/>
      <c r="E52" s="12"/>
      <c r="F52" s="12"/>
    </row>
    <row r="53" spans="1:9" ht="14" x14ac:dyDescent="0.3">
      <c r="B53" s="15" t="str">
        <f>CONCATENATE("Total ",$B$11)</f>
        <v>Total Alte venituri din exploatare</v>
      </c>
      <c r="D53" s="8">
        <f>SUM(D42:D51)</f>
        <v>430000</v>
      </c>
      <c r="E53" s="8">
        <f>SUM(E42:E51)</f>
        <v>270000</v>
      </c>
      <c r="F53" s="8">
        <f>SUM(F42:F51)</f>
        <v>1250000</v>
      </c>
      <c r="G53" s="34"/>
    </row>
    <row r="54" spans="1:9" ht="14" x14ac:dyDescent="0.3">
      <c r="D54" s="42">
        <f>+D11-D53</f>
        <v>0</v>
      </c>
      <c r="E54" s="42">
        <f>+E11-E53</f>
        <v>0</v>
      </c>
      <c r="F54" s="42">
        <f>+F11-F53</f>
        <v>0</v>
      </c>
    </row>
    <row r="55" spans="1:9" x14ac:dyDescent="0.3">
      <c r="D55" s="17"/>
      <c r="E55" s="17"/>
      <c r="F55" s="17"/>
    </row>
    <row r="56" spans="1:9" x14ac:dyDescent="0.3">
      <c r="D56" s="17"/>
      <c r="E56" s="17"/>
      <c r="F56" s="17"/>
    </row>
    <row r="57" spans="1:9" ht="14" x14ac:dyDescent="0.3">
      <c r="A57" s="3"/>
      <c r="B57" s="145" t="s">
        <v>41</v>
      </c>
      <c r="D57" s="7">
        <v>2020</v>
      </c>
      <c r="E57" s="7">
        <v>2021</v>
      </c>
      <c r="F57" s="7">
        <v>2022</v>
      </c>
    </row>
    <row r="58" spans="1:9" ht="14" x14ac:dyDescent="0.3">
      <c r="B58" s="10"/>
      <c r="D58" s="18"/>
      <c r="E58" s="18"/>
      <c r="F58" s="18"/>
    </row>
    <row r="59" spans="1:9" ht="14" x14ac:dyDescent="0.3">
      <c r="B59" s="10" t="s">
        <v>42</v>
      </c>
      <c r="D59" s="12">
        <v>-320000</v>
      </c>
      <c r="E59" s="12">
        <v>-20000</v>
      </c>
      <c r="F59" s="12">
        <v>-60000</v>
      </c>
    </row>
    <row r="60" spans="1:9" ht="14" x14ac:dyDescent="0.3">
      <c r="B60" s="10" t="s">
        <v>43</v>
      </c>
      <c r="D60" s="12">
        <v>-10000</v>
      </c>
      <c r="E60" s="12">
        <v>0</v>
      </c>
      <c r="F60" s="12">
        <v>0</v>
      </c>
    </row>
    <row r="61" spans="1:9" ht="14" x14ac:dyDescent="0.3">
      <c r="B61" s="10" t="s">
        <v>44</v>
      </c>
      <c r="D61" s="12">
        <v>-17520000</v>
      </c>
      <c r="E61" s="12">
        <f>-18180000+2300000</f>
        <v>-15880000</v>
      </c>
      <c r="F61" s="12">
        <f>-14880000+1980000</f>
        <v>-12900000</v>
      </c>
    </row>
    <row r="62" spans="1:9" ht="14" x14ac:dyDescent="0.3">
      <c r="B62" s="10" t="s">
        <v>45</v>
      </c>
      <c r="D62" s="19">
        <v>0</v>
      </c>
      <c r="E62" s="19">
        <v>-100000</v>
      </c>
      <c r="F62" s="19">
        <v>-20000</v>
      </c>
    </row>
    <row r="63" spans="1:9" ht="14" x14ac:dyDescent="0.3">
      <c r="B63" s="15" t="s">
        <v>46</v>
      </c>
      <c r="D63" s="45">
        <f>SUM(D59:D62)</f>
        <v>-17850000</v>
      </c>
      <c r="E63" s="45">
        <f>SUM(E59:E62)</f>
        <v>-16000000</v>
      </c>
      <c r="F63" s="45">
        <f>SUM(F59:F62)</f>
        <v>-12980000</v>
      </c>
      <c r="G63" s="34"/>
    </row>
    <row r="64" spans="1:9" s="11" customFormat="1" ht="14" x14ac:dyDescent="0.3">
      <c r="B64" s="49" t="s">
        <v>47</v>
      </c>
      <c r="C64" s="50"/>
      <c r="D64" s="51">
        <f>+E64*0.9</f>
        <v>-1449000</v>
      </c>
      <c r="E64" s="51">
        <v>-1610000</v>
      </c>
      <c r="F64" s="51">
        <v>-910000</v>
      </c>
      <c r="H64" s="5"/>
      <c r="I64" s="5"/>
    </row>
    <row r="65" spans="2:9" s="11" customFormat="1" ht="14" x14ac:dyDescent="0.3">
      <c r="B65" s="49" t="s">
        <v>48</v>
      </c>
      <c r="C65" s="50"/>
      <c r="D65" s="51">
        <f>+E65*0.9</f>
        <v>0</v>
      </c>
      <c r="E65" s="51">
        <v>0</v>
      </c>
      <c r="F65" s="51">
        <v>0</v>
      </c>
      <c r="H65" s="5"/>
      <c r="I65" s="5"/>
    </row>
    <row r="66" spans="2:9" s="11" customFormat="1" ht="14" x14ac:dyDescent="0.3">
      <c r="B66" s="49" t="s">
        <v>49</v>
      </c>
      <c r="C66" s="50"/>
      <c r="D66" s="51">
        <f>+E66*0.9</f>
        <v>-27000</v>
      </c>
      <c r="E66" s="51">
        <v>-30000</v>
      </c>
      <c r="F66" s="51">
        <v>-50000</v>
      </c>
      <c r="I66" s="5"/>
    </row>
    <row r="67" spans="2:9" s="11" customFormat="1" ht="14" x14ac:dyDescent="0.3">
      <c r="B67" s="48" t="s">
        <v>50</v>
      </c>
      <c r="C67" s="50"/>
      <c r="D67" s="52">
        <f>SUM(D64:D66)</f>
        <v>-1476000</v>
      </c>
      <c r="E67" s="52">
        <v>-1630000</v>
      </c>
      <c r="F67" s="52">
        <v>-960000</v>
      </c>
      <c r="I67" s="5"/>
    </row>
    <row r="68" spans="2:9" ht="14" x14ac:dyDescent="0.3">
      <c r="B68" s="21" t="s">
        <v>51</v>
      </c>
      <c r="D68" s="20">
        <f>+E68*0.9</f>
        <v>-414000</v>
      </c>
      <c r="E68" s="20">
        <v>-460000</v>
      </c>
      <c r="F68" s="20">
        <v>-660000</v>
      </c>
    </row>
    <row r="69" spans="2:9" ht="14" x14ac:dyDescent="0.3">
      <c r="B69" s="21" t="s">
        <v>52</v>
      </c>
      <c r="D69" s="20">
        <f>+E69*0.9</f>
        <v>-9000</v>
      </c>
      <c r="E69" s="20">
        <v>-10000</v>
      </c>
      <c r="F69" s="20">
        <v>-20000</v>
      </c>
    </row>
    <row r="70" spans="2:9" ht="14" x14ac:dyDescent="0.3">
      <c r="B70" s="21" t="s">
        <v>53</v>
      </c>
      <c r="D70" s="20">
        <f>+E70*0.9</f>
        <v>-2358000</v>
      </c>
      <c r="E70" s="20">
        <v>-2620000</v>
      </c>
      <c r="F70" s="20">
        <v>-2620000</v>
      </c>
    </row>
    <row r="71" spans="2:9" ht="14" x14ac:dyDescent="0.3">
      <c r="B71" s="21" t="s">
        <v>54</v>
      </c>
      <c r="D71" s="20">
        <f>+E71*0.9</f>
        <v>-18000</v>
      </c>
      <c r="E71" s="19">
        <v>-20000</v>
      </c>
      <c r="F71" s="19">
        <v>-20000</v>
      </c>
    </row>
    <row r="72" spans="2:9" ht="14" x14ac:dyDescent="0.3">
      <c r="B72" s="22" t="s">
        <v>55</v>
      </c>
      <c r="D72" s="38">
        <f t="shared" ref="D72" si="0">SUM(D68:D71)</f>
        <v>-2799000</v>
      </c>
      <c r="E72" s="38">
        <f t="shared" ref="E72:F72" si="1">SUM(E68:E71)</f>
        <v>-3110000</v>
      </c>
      <c r="F72" s="38">
        <f t="shared" si="1"/>
        <v>-3320000</v>
      </c>
      <c r="G72" s="34"/>
    </row>
    <row r="73" spans="2:9" ht="28" x14ac:dyDescent="0.3">
      <c r="B73" s="23" t="s">
        <v>56</v>
      </c>
      <c r="D73" s="45">
        <f>D72+D63+D67</f>
        <v>-22125000</v>
      </c>
      <c r="E73" s="45">
        <f>E72+E63+E67</f>
        <v>-20740000</v>
      </c>
      <c r="F73" s="45">
        <f>F72+F63+F67</f>
        <v>-17260000</v>
      </c>
    </row>
    <row r="74" spans="2:9" ht="14" x14ac:dyDescent="0.3">
      <c r="B74" s="10" t="s">
        <v>57</v>
      </c>
      <c r="D74" s="12">
        <v>-2620000</v>
      </c>
      <c r="E74" s="12">
        <v>-2380000</v>
      </c>
      <c r="F74" s="12">
        <v>-1740000</v>
      </c>
    </row>
    <row r="75" spans="2:9" ht="14" x14ac:dyDescent="0.3">
      <c r="B75" s="10" t="s">
        <v>58</v>
      </c>
      <c r="D75" s="12">
        <v>-60000</v>
      </c>
      <c r="E75" s="12">
        <v>-80000</v>
      </c>
      <c r="F75" s="12">
        <v>-70000</v>
      </c>
    </row>
    <row r="76" spans="2:9" ht="28" x14ac:dyDescent="0.3">
      <c r="B76" s="10" t="s">
        <v>59</v>
      </c>
      <c r="D76" s="12">
        <f>-4710000-D67-D72</f>
        <v>-435000</v>
      </c>
      <c r="E76" s="12">
        <v>-250000</v>
      </c>
      <c r="F76" s="12">
        <v>-360000</v>
      </c>
    </row>
    <row r="77" spans="2:9" ht="14" x14ac:dyDescent="0.3">
      <c r="B77" s="10" t="s">
        <v>60</v>
      </c>
      <c r="D77" s="19">
        <v>-50000</v>
      </c>
      <c r="E77" s="19">
        <v>-50000</v>
      </c>
      <c r="F77" s="19">
        <v>-70000</v>
      </c>
    </row>
    <row r="78" spans="2:9" ht="14" x14ac:dyDescent="0.3">
      <c r="B78" s="15" t="s">
        <v>61</v>
      </c>
      <c r="D78" s="45">
        <f>SUM(D74:D77)</f>
        <v>-3165000</v>
      </c>
      <c r="E78" s="45">
        <f>SUM(E74:E77)</f>
        <v>-2760000</v>
      </c>
      <c r="F78" s="45">
        <f>SUM(F74:F77)</f>
        <v>-2240000</v>
      </c>
      <c r="G78" s="34"/>
    </row>
    <row r="79" spans="2:9" ht="14" x14ac:dyDescent="0.3">
      <c r="B79" s="15"/>
      <c r="D79" s="12"/>
      <c r="E79" s="12"/>
      <c r="F79" s="12"/>
    </row>
    <row r="80" spans="2:9" ht="14" x14ac:dyDescent="0.3">
      <c r="B80" s="15" t="str">
        <f>CONCATENATE("Total ",$B$16)</f>
        <v>Total Cheltuieli privind beneficiile pentru angajaţi</v>
      </c>
      <c r="D80" s="8">
        <f>D63+D67+D72+D78</f>
        <v>-25290000</v>
      </c>
      <c r="E80" s="8">
        <f>E63+E67+E72+E78</f>
        <v>-23500000</v>
      </c>
      <c r="F80" s="8">
        <f>F63+F67+F72+F78</f>
        <v>-19500000</v>
      </c>
      <c r="G80" s="34"/>
    </row>
    <row r="81" spans="1:6" ht="14" x14ac:dyDescent="0.3">
      <c r="D81" s="42">
        <f>+D16-D80</f>
        <v>0</v>
      </c>
      <c r="E81" s="42">
        <f>+E16-E80</f>
        <v>0</v>
      </c>
      <c r="F81" s="42">
        <f>+F16-F80</f>
        <v>0</v>
      </c>
    </row>
    <row r="82" spans="1:6" x14ac:dyDescent="0.3">
      <c r="D82" s="17"/>
      <c r="E82" s="17"/>
      <c r="F82" s="17"/>
    </row>
    <row r="83" spans="1:6" x14ac:dyDescent="0.3">
      <c r="D83" s="17"/>
      <c r="E83" s="17"/>
      <c r="F83" s="17"/>
    </row>
    <row r="84" spans="1:6" x14ac:dyDescent="0.3">
      <c r="B84" s="3"/>
      <c r="D84" s="17"/>
      <c r="E84" s="17"/>
      <c r="F84" s="17"/>
    </row>
    <row r="85" spans="1:6" ht="14" x14ac:dyDescent="0.3">
      <c r="A85" s="3"/>
      <c r="B85" s="145" t="s">
        <v>62</v>
      </c>
      <c r="D85" s="7">
        <v>2020</v>
      </c>
      <c r="E85" s="7">
        <v>2021</v>
      </c>
      <c r="F85" s="7">
        <v>2022</v>
      </c>
    </row>
    <row r="86" spans="1:6" ht="14" x14ac:dyDescent="0.3">
      <c r="B86" s="10"/>
      <c r="D86" s="18"/>
      <c r="E86" s="18"/>
      <c r="F86" s="18"/>
    </row>
    <row r="87" spans="1:6" ht="14" x14ac:dyDescent="0.3">
      <c r="B87" s="10" t="s">
        <v>63</v>
      </c>
      <c r="D87" s="12">
        <v>-2570000</v>
      </c>
      <c r="E87" s="12">
        <v>-3750000</v>
      </c>
      <c r="F87" s="37">
        <v>-3940000</v>
      </c>
    </row>
    <row r="88" spans="1:6" ht="14" x14ac:dyDescent="0.3">
      <c r="B88" s="10" t="s">
        <v>64</v>
      </c>
      <c r="D88" s="12"/>
      <c r="E88" s="12"/>
      <c r="F88" s="37"/>
    </row>
    <row r="89" spans="1:6" ht="28" x14ac:dyDescent="0.3">
      <c r="B89" s="10" t="s">
        <v>65</v>
      </c>
      <c r="D89" s="12">
        <v>-1210000</v>
      </c>
      <c r="E89" s="12">
        <v>-1190000</v>
      </c>
      <c r="F89" s="37">
        <v>-990000</v>
      </c>
    </row>
    <row r="90" spans="1:6" ht="28" x14ac:dyDescent="0.3">
      <c r="B90" s="10" t="s">
        <v>66</v>
      </c>
      <c r="D90" s="12">
        <v>0</v>
      </c>
      <c r="E90" s="12">
        <v>0</v>
      </c>
      <c r="F90" s="37">
        <v>0</v>
      </c>
    </row>
    <row r="91" spans="1:6" ht="28" x14ac:dyDescent="0.3">
      <c r="B91" s="10" t="s">
        <v>67</v>
      </c>
      <c r="D91" s="12">
        <v>-170000</v>
      </c>
      <c r="E91" s="12">
        <v>0</v>
      </c>
      <c r="F91" s="37">
        <v>0</v>
      </c>
    </row>
    <row r="92" spans="1:6" ht="14" x14ac:dyDescent="0.3">
      <c r="B92" s="10" t="s">
        <v>68</v>
      </c>
      <c r="D92" s="12">
        <v>0</v>
      </c>
      <c r="E92" s="12">
        <v>-60000</v>
      </c>
      <c r="F92" s="37">
        <v>-340000</v>
      </c>
    </row>
    <row r="93" spans="1:6" ht="14" x14ac:dyDescent="0.3">
      <c r="B93" s="10" t="s">
        <v>69</v>
      </c>
      <c r="D93" s="12">
        <v>-570000</v>
      </c>
      <c r="E93" s="12">
        <v>-610000</v>
      </c>
      <c r="F93" s="37">
        <v>-1370000</v>
      </c>
    </row>
    <row r="94" spans="1:6" ht="14" x14ac:dyDescent="0.3">
      <c r="B94" s="10" t="s">
        <v>70</v>
      </c>
      <c r="D94" s="12">
        <v>0</v>
      </c>
      <c r="E94" s="12">
        <v>0</v>
      </c>
      <c r="F94" s="37">
        <v>0</v>
      </c>
    </row>
    <row r="95" spans="1:6" ht="28" x14ac:dyDescent="0.3">
      <c r="B95" s="10" t="s">
        <v>71</v>
      </c>
      <c r="D95" s="12">
        <v>-220000</v>
      </c>
      <c r="E95" s="12">
        <v>-390000</v>
      </c>
      <c r="F95" s="37">
        <v>-450000</v>
      </c>
    </row>
    <row r="96" spans="1:6" ht="14" x14ac:dyDescent="0.3">
      <c r="B96" s="10" t="s">
        <v>72</v>
      </c>
      <c r="D96" s="12"/>
      <c r="E96" s="12"/>
      <c r="F96" s="37">
        <v>0</v>
      </c>
    </row>
    <row r="97" spans="1:7" ht="14" x14ac:dyDescent="0.3">
      <c r="B97" s="10" t="s">
        <v>73</v>
      </c>
      <c r="D97" s="12">
        <v>0</v>
      </c>
      <c r="E97" s="12">
        <v>-10000</v>
      </c>
      <c r="F97" s="37">
        <v>-20000</v>
      </c>
    </row>
    <row r="98" spans="1:7" ht="14" x14ac:dyDescent="0.3">
      <c r="B98" s="10" t="s">
        <v>74</v>
      </c>
      <c r="D98" s="12"/>
      <c r="E98" s="12"/>
      <c r="F98" s="37">
        <v>0</v>
      </c>
    </row>
    <row r="99" spans="1:7" ht="14" x14ac:dyDescent="0.3">
      <c r="B99" s="10" t="s">
        <v>75</v>
      </c>
      <c r="D99" s="12"/>
      <c r="E99" s="12"/>
      <c r="F99" s="37">
        <v>0</v>
      </c>
    </row>
    <row r="100" spans="1:7" ht="14" x14ac:dyDescent="0.3">
      <c r="B100" s="10"/>
      <c r="D100" s="12"/>
      <c r="E100" s="12"/>
      <c r="F100" s="37"/>
    </row>
    <row r="101" spans="1:7" ht="14.5" thickBot="1" x14ac:dyDescent="0.35">
      <c r="B101" s="10" t="s">
        <v>31</v>
      </c>
      <c r="D101" s="16">
        <v>-2140000</v>
      </c>
      <c r="E101" s="16">
        <v>-2760000</v>
      </c>
      <c r="F101" s="16">
        <v>-3740000</v>
      </c>
    </row>
    <row r="102" spans="1:7" ht="14" x14ac:dyDescent="0.3">
      <c r="B102" s="15"/>
      <c r="D102" s="12"/>
      <c r="E102" s="12"/>
      <c r="F102" s="12"/>
    </row>
    <row r="103" spans="1:7" ht="14" x14ac:dyDescent="0.3">
      <c r="B103" s="15" t="str">
        <f>CONCATENATE("Total ",$B$19)</f>
        <v>Total Alte cheltuieli de exploatare</v>
      </c>
      <c r="D103" s="8">
        <f>SUM(D87:D101)</f>
        <v>-6880000</v>
      </c>
      <c r="E103" s="8">
        <f>SUM(E87:E101)</f>
        <v>-8770000</v>
      </c>
      <c r="F103" s="8">
        <f>SUM(F87:F101)</f>
        <v>-10850000</v>
      </c>
      <c r="G103" s="34"/>
    </row>
    <row r="104" spans="1:7" ht="14" x14ac:dyDescent="0.3">
      <c r="D104" s="42">
        <f>+D19-D103</f>
        <v>0</v>
      </c>
      <c r="E104" s="42">
        <f>+E19-E103</f>
        <v>0</v>
      </c>
      <c r="F104" s="42">
        <f>+F19-F103</f>
        <v>0</v>
      </c>
    </row>
    <row r="106" spans="1:7" ht="14" x14ac:dyDescent="0.3">
      <c r="A106" s="3"/>
      <c r="B106" s="145" t="s">
        <v>76</v>
      </c>
      <c r="D106" s="7">
        <v>2020</v>
      </c>
      <c r="E106" s="7">
        <v>2021</v>
      </c>
      <c r="F106" s="7">
        <v>2022</v>
      </c>
    </row>
    <row r="108" spans="1:7" ht="14" x14ac:dyDescent="0.3">
      <c r="B108" s="9" t="s">
        <v>77</v>
      </c>
      <c r="D108" s="12">
        <v>3690000</v>
      </c>
      <c r="E108" s="12">
        <v>940000</v>
      </c>
      <c r="F108" s="12">
        <v>3340000</v>
      </c>
    </row>
    <row r="109" spans="1:7" ht="14" x14ac:dyDescent="0.3">
      <c r="B109" s="9" t="s">
        <v>78</v>
      </c>
      <c r="D109" s="12">
        <v>-380000</v>
      </c>
      <c r="E109" s="12">
        <v>0</v>
      </c>
      <c r="F109" s="12">
        <v>0</v>
      </c>
    </row>
    <row r="110" spans="1:7" ht="14" x14ac:dyDescent="0.3">
      <c r="B110" s="9" t="s">
        <v>79</v>
      </c>
      <c r="D110" s="12">
        <v>-160000</v>
      </c>
      <c r="E110" s="12">
        <v>0</v>
      </c>
      <c r="F110" s="12">
        <v>0</v>
      </c>
    </row>
    <row r="111" spans="1:7" ht="14" x14ac:dyDescent="0.3">
      <c r="B111" s="9" t="s">
        <v>80</v>
      </c>
      <c r="D111" s="12">
        <v>-1020000</v>
      </c>
      <c r="E111" s="12">
        <v>-600000</v>
      </c>
      <c r="F111" s="12">
        <v>-1840000</v>
      </c>
    </row>
    <row r="112" spans="1:7" ht="14.5" thickBot="1" x14ac:dyDescent="0.35">
      <c r="B112" s="9"/>
      <c r="D112" s="16"/>
      <c r="E112" s="16"/>
      <c r="F112" s="16"/>
    </row>
    <row r="114" spans="1:7" ht="14" x14ac:dyDescent="0.3">
      <c r="B114" s="15" t="s">
        <v>81</v>
      </c>
      <c r="D114" s="8">
        <f>SUM(D108:D112)</f>
        <v>2130000</v>
      </c>
      <c r="E114" s="8">
        <f>SUM(E108:E112)</f>
        <v>340000</v>
      </c>
      <c r="F114" s="8">
        <f>SUM(F108:F112)</f>
        <v>1500000</v>
      </c>
      <c r="G114" s="34"/>
    </row>
    <row r="115" spans="1:7" ht="14" x14ac:dyDescent="0.3">
      <c r="D115" s="42">
        <f>+D23-D114</f>
        <v>0</v>
      </c>
      <c r="E115" s="42">
        <f>+E23-E114</f>
        <v>0</v>
      </c>
      <c r="F115" s="42">
        <f>+F23-F114</f>
        <v>0</v>
      </c>
    </row>
    <row r="117" spans="1:7" ht="14" x14ac:dyDescent="0.3">
      <c r="A117" s="3"/>
      <c r="B117" s="145" t="s">
        <v>82</v>
      </c>
      <c r="D117" s="7">
        <v>2020</v>
      </c>
      <c r="E117" s="7">
        <v>2021</v>
      </c>
      <c r="F117" s="7">
        <v>2022</v>
      </c>
    </row>
    <row r="119" spans="1:7" ht="14" x14ac:dyDescent="0.3">
      <c r="B119" s="9" t="s">
        <v>83</v>
      </c>
    </row>
    <row r="120" spans="1:7" ht="14" x14ac:dyDescent="0.3">
      <c r="B120" s="9" t="s">
        <v>84</v>
      </c>
      <c r="D120" s="12">
        <v>-90000</v>
      </c>
      <c r="E120" s="12">
        <v>-160000</v>
      </c>
      <c r="F120" s="12">
        <v>-220000</v>
      </c>
    </row>
    <row r="121" spans="1:7" ht="14" x14ac:dyDescent="0.3">
      <c r="B121" s="9" t="s">
        <v>85</v>
      </c>
      <c r="D121" s="12">
        <v>110000</v>
      </c>
      <c r="E121" s="12">
        <v>120000</v>
      </c>
      <c r="F121" s="12">
        <v>870000</v>
      </c>
    </row>
    <row r="122" spans="1:7" ht="14" x14ac:dyDescent="0.3">
      <c r="B122" s="9" t="s">
        <v>86</v>
      </c>
      <c r="D122" s="12">
        <v>-380000</v>
      </c>
      <c r="E122" s="12">
        <v>-310000</v>
      </c>
      <c r="F122" s="12">
        <v>-900000</v>
      </c>
    </row>
    <row r="123" spans="1:7" ht="14" x14ac:dyDescent="0.3">
      <c r="B123" s="9" t="s">
        <v>87</v>
      </c>
      <c r="D123" s="12">
        <v>0</v>
      </c>
      <c r="E123" s="12">
        <v>0</v>
      </c>
      <c r="F123" s="12">
        <v>10000</v>
      </c>
    </row>
    <row r="124" spans="1:7" ht="14.5" thickBot="1" x14ac:dyDescent="0.35">
      <c r="B124" s="9" t="s">
        <v>88</v>
      </c>
      <c r="D124" s="16">
        <v>-50000</v>
      </c>
      <c r="E124" s="16">
        <v>-60000</v>
      </c>
      <c r="F124" s="16">
        <v>-30000</v>
      </c>
    </row>
    <row r="126" spans="1:7" ht="14" x14ac:dyDescent="0.3">
      <c r="B126" s="15" t="str">
        <f>CONCATENATE("Total ",$B$31)</f>
        <v>Total Profit/(pierdere) financiară</v>
      </c>
      <c r="D126" s="8">
        <f>SUM(D119:D124)</f>
        <v>-410000</v>
      </c>
      <c r="E126" s="8">
        <f>SUM(E119:E124)</f>
        <v>-410000</v>
      </c>
      <c r="F126" s="8">
        <f>SUM(F119:F124)</f>
        <v>-270000</v>
      </c>
      <c r="G126" s="34"/>
    </row>
    <row r="127" spans="1:7" ht="14" x14ac:dyDescent="0.3">
      <c r="D127" s="42">
        <f>+D31-D126</f>
        <v>0</v>
      </c>
      <c r="E127" s="42">
        <f>+E31-E126</f>
        <v>0</v>
      </c>
      <c r="F127" s="42">
        <f>+F31-F126</f>
        <v>0</v>
      </c>
    </row>
    <row r="129" spans="2:6" ht="28" customHeight="1" x14ac:dyDescent="0.3">
      <c r="B129" s="178" t="s">
        <v>104</v>
      </c>
      <c r="C129" s="178"/>
      <c r="D129" s="178"/>
      <c r="E129" s="178"/>
      <c r="F129" s="178"/>
    </row>
    <row r="130" spans="2:6" ht="14.5" x14ac:dyDescent="0.35">
      <c r="B130"/>
      <c r="C130"/>
      <c r="D130" s="76"/>
      <c r="E130" s="76"/>
      <c r="F130" s="76"/>
    </row>
    <row r="131" spans="2:6" ht="14.5" x14ac:dyDescent="0.35">
      <c r="B131" s="76" t="s">
        <v>105</v>
      </c>
      <c r="C131" s="76"/>
      <c r="D131" s="5"/>
      <c r="E131" s="5"/>
      <c r="F131" s="5"/>
    </row>
  </sheetData>
  <mergeCells count="3">
    <mergeCell ref="B129:F129"/>
    <mergeCell ref="B36:F36"/>
    <mergeCell ref="I34:M34"/>
  </mergeCells>
  <pageMargins left="0.7" right="0.7" top="0.75" bottom="0.75" header="0.3" footer="0.3"/>
  <pageSetup paperSize="9" scale="71" orientation="portrait" r:id="rId1"/>
  <rowBreaks count="2" manualBreakCount="2">
    <brk id="38" min="1" max="5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9A12-5DAC-4B31-8977-112B4762DBBC}">
  <sheetPr>
    <tabColor theme="4" tint="-0.499984740745262"/>
  </sheetPr>
  <dimension ref="A1:F72"/>
  <sheetViews>
    <sheetView zoomScale="85" zoomScaleNormal="85" workbookViewId="0">
      <pane xSplit="2" ySplit="2" topLeftCell="C3" activePane="bottomRight" state="frozen"/>
      <selection activeCell="B18" sqref="B18"/>
      <selection pane="topRight" activeCell="B18" sqref="B18"/>
      <selection pane="bottomLeft" activeCell="B18" sqref="B18"/>
      <selection pane="bottomRight" activeCell="E15" sqref="E15"/>
    </sheetView>
  </sheetViews>
  <sheetFormatPr defaultColWidth="8.26953125" defaultRowHeight="14" x14ac:dyDescent="0.3"/>
  <cols>
    <col min="1" max="1" width="10.54296875" style="2" customWidth="1"/>
    <col min="2" max="2" width="52" style="5" customWidth="1"/>
    <col min="3" max="3" width="5.1796875" style="4" bestFit="1" customWidth="1"/>
    <col min="4" max="4" width="14.1796875" style="5" bestFit="1" customWidth="1"/>
    <col min="5" max="5" width="14" style="5" bestFit="1" customWidth="1"/>
    <col min="6" max="6" width="12.453125" style="5" customWidth="1"/>
    <col min="7" max="7" width="10.1796875" style="5" customWidth="1"/>
    <col min="8" max="8" width="12.26953125" style="5" bestFit="1" customWidth="1"/>
    <col min="9" max="9" width="12.54296875" style="5" customWidth="1"/>
    <col min="10" max="10" width="8.26953125" style="5"/>
    <col min="11" max="11" width="11.7265625" style="5" bestFit="1" customWidth="1"/>
    <col min="12" max="16384" width="8.26953125" style="5"/>
  </cols>
  <sheetData>
    <row r="1" spans="2:6" x14ac:dyDescent="0.3">
      <c r="B1" s="2" t="s">
        <v>142</v>
      </c>
    </row>
    <row r="2" spans="2:6" x14ac:dyDescent="0.3">
      <c r="B2" s="6"/>
      <c r="C2" s="7" t="s">
        <v>2</v>
      </c>
      <c r="D2" s="24" t="s">
        <v>184</v>
      </c>
      <c r="E2" s="24" t="s">
        <v>143</v>
      </c>
      <c r="F2" s="24" t="s">
        <v>144</v>
      </c>
    </row>
    <row r="3" spans="2:6" x14ac:dyDescent="0.3">
      <c r="B3" s="6"/>
      <c r="C3" s="7"/>
      <c r="D3" s="6"/>
      <c r="E3" s="6"/>
      <c r="F3" s="6"/>
    </row>
    <row r="4" spans="2:6" x14ac:dyDescent="0.3">
      <c r="B4" s="6" t="s">
        <v>145</v>
      </c>
      <c r="C4" s="7"/>
      <c r="D4" s="6"/>
      <c r="E4" s="6"/>
      <c r="F4" s="6"/>
    </row>
    <row r="5" spans="2:6" x14ac:dyDescent="0.3">
      <c r="B5" s="9" t="s">
        <v>146</v>
      </c>
      <c r="C5" s="7"/>
      <c r="D5" s="25">
        <v>100000</v>
      </c>
      <c r="E5" s="25">
        <v>40000</v>
      </c>
      <c r="F5" s="25">
        <v>1510000</v>
      </c>
    </row>
    <row r="6" spans="2:6" x14ac:dyDescent="0.3">
      <c r="B6" s="9" t="s">
        <v>147</v>
      </c>
      <c r="C6" s="7">
        <v>12</v>
      </c>
      <c r="D6" s="25">
        <v>120000</v>
      </c>
      <c r="E6" s="25">
        <v>0</v>
      </c>
      <c r="F6" s="25">
        <v>380000</v>
      </c>
    </row>
    <row r="7" spans="2:6" x14ac:dyDescent="0.3">
      <c r="B7" s="9" t="s">
        <v>148</v>
      </c>
      <c r="C7" s="7">
        <v>23</v>
      </c>
      <c r="D7" s="25">
        <v>0</v>
      </c>
      <c r="E7" s="25">
        <v>0</v>
      </c>
      <c r="F7" s="25">
        <v>0</v>
      </c>
    </row>
    <row r="8" spans="2:6" x14ac:dyDescent="0.3">
      <c r="B8" s="9" t="s">
        <v>149</v>
      </c>
      <c r="C8" s="7">
        <v>13</v>
      </c>
      <c r="D8" s="25">
        <v>8010000</v>
      </c>
      <c r="E8" s="25">
        <v>2110000</v>
      </c>
      <c r="F8" s="25">
        <v>4190000</v>
      </c>
    </row>
    <row r="9" spans="2:6" ht="14.5" thickBot="1" x14ac:dyDescent="0.35">
      <c r="B9" s="9" t="s">
        <v>150</v>
      </c>
      <c r="C9" s="7"/>
      <c r="D9" s="26">
        <v>40000</v>
      </c>
      <c r="E9" s="26">
        <v>280000</v>
      </c>
      <c r="F9" s="26">
        <v>200000</v>
      </c>
    </row>
    <row r="10" spans="2:6" ht="14.5" thickBot="1" x14ac:dyDescent="0.35">
      <c r="B10" s="9"/>
      <c r="C10" s="7"/>
      <c r="D10" s="27">
        <f>SUM(D5:D9)</f>
        <v>8270000</v>
      </c>
      <c r="E10" s="27">
        <f>SUM(E5:E9)</f>
        <v>2430000</v>
      </c>
      <c r="F10" s="27">
        <f>SUM(F5:F9)</f>
        <v>6280000</v>
      </c>
    </row>
    <row r="11" spans="2:6" x14ac:dyDescent="0.3">
      <c r="B11" s="6" t="s">
        <v>151</v>
      </c>
      <c r="C11" s="7"/>
      <c r="D11" s="8"/>
      <c r="E11" s="8"/>
      <c r="F11" s="8"/>
    </row>
    <row r="12" spans="2:6" x14ac:dyDescent="0.3">
      <c r="B12" s="9" t="s">
        <v>152</v>
      </c>
      <c r="C12" s="7">
        <v>14</v>
      </c>
      <c r="D12" s="25">
        <v>15630000</v>
      </c>
      <c r="E12" s="25">
        <v>16460000</v>
      </c>
      <c r="F12" s="25">
        <v>17620000</v>
      </c>
    </row>
    <row r="13" spans="2:6" x14ac:dyDescent="0.3">
      <c r="B13" s="9" t="s">
        <v>153</v>
      </c>
      <c r="C13" s="7">
        <v>15</v>
      </c>
      <c r="D13" s="25">
        <v>5900000</v>
      </c>
      <c r="E13" s="25">
        <v>2990000</v>
      </c>
      <c r="F13" s="25">
        <v>2940000</v>
      </c>
    </row>
    <row r="14" spans="2:6" x14ac:dyDescent="0.3">
      <c r="B14" s="9" t="s">
        <v>147</v>
      </c>
      <c r="C14" s="7">
        <v>12</v>
      </c>
      <c r="D14" s="25"/>
      <c r="E14" s="25"/>
      <c r="F14" s="25"/>
    </row>
    <row r="15" spans="2:6" x14ac:dyDescent="0.3">
      <c r="B15" s="9" t="s">
        <v>148</v>
      </c>
      <c r="C15" s="7">
        <v>23</v>
      </c>
      <c r="D15" s="25"/>
      <c r="E15" s="25"/>
      <c r="F15" s="25"/>
    </row>
    <row r="16" spans="2:6" x14ac:dyDescent="0.3">
      <c r="B16" s="9" t="s">
        <v>154</v>
      </c>
      <c r="C16" s="7">
        <v>15</v>
      </c>
      <c r="D16" s="25">
        <v>20000</v>
      </c>
      <c r="E16" s="25">
        <v>0</v>
      </c>
      <c r="F16" s="25">
        <v>0</v>
      </c>
    </row>
    <row r="17" spans="1:6" ht="14.5" thickBot="1" x14ac:dyDescent="0.35">
      <c r="B17" s="9" t="s">
        <v>155</v>
      </c>
      <c r="C17" s="7">
        <v>16</v>
      </c>
      <c r="D17" s="26"/>
      <c r="E17" s="26"/>
      <c r="F17" s="26"/>
    </row>
    <row r="18" spans="1:6" ht="14.5" thickBot="1" x14ac:dyDescent="0.35">
      <c r="B18" s="9"/>
      <c r="C18" s="7"/>
      <c r="D18" s="27">
        <f>SUM(D11:D17)</f>
        <v>21550000</v>
      </c>
      <c r="E18" s="27">
        <f>SUM(E11:E17)</f>
        <v>19450000</v>
      </c>
      <c r="F18" s="27">
        <f>SUM(F11:F17)</f>
        <v>20560000</v>
      </c>
    </row>
    <row r="19" spans="1:6" x14ac:dyDescent="0.3">
      <c r="B19" s="9"/>
      <c r="C19" s="7"/>
      <c r="D19" s="28"/>
      <c r="E19" s="28"/>
      <c r="F19" s="28"/>
    </row>
    <row r="20" spans="1:6" ht="14.5" thickBot="1" x14ac:dyDescent="0.35">
      <c r="B20" s="6" t="s">
        <v>156</v>
      </c>
      <c r="C20" s="7"/>
      <c r="D20" s="8">
        <f>+D18+D10</f>
        <v>29820000</v>
      </c>
      <c r="E20" s="8">
        <f>+E18+E10</f>
        <v>21880000</v>
      </c>
      <c r="F20" s="8">
        <f>+F18+F10</f>
        <v>26840000</v>
      </c>
    </row>
    <row r="21" spans="1:6" ht="14.5" thickTop="1" x14ac:dyDescent="0.3">
      <c r="B21" s="9"/>
      <c r="C21" s="7"/>
      <c r="D21" s="29"/>
      <c r="E21" s="29"/>
      <c r="F21" s="29"/>
    </row>
    <row r="22" spans="1:6" x14ac:dyDescent="0.3">
      <c r="B22" s="6" t="s">
        <v>157</v>
      </c>
      <c r="C22" s="7"/>
      <c r="D22" s="8"/>
      <c r="E22" s="8"/>
      <c r="F22" s="8"/>
    </row>
    <row r="23" spans="1:6" x14ac:dyDescent="0.3">
      <c r="B23" s="9" t="s">
        <v>158</v>
      </c>
      <c r="C23" s="7">
        <v>17</v>
      </c>
      <c r="D23" s="25">
        <v>11470000</v>
      </c>
      <c r="E23" s="25">
        <v>2260000</v>
      </c>
      <c r="F23" s="25">
        <v>1420000</v>
      </c>
    </row>
    <row r="24" spans="1:6" x14ac:dyDescent="0.3">
      <c r="B24" s="9" t="s">
        <v>159</v>
      </c>
      <c r="C24" s="7">
        <v>18</v>
      </c>
      <c r="D24" s="25">
        <v>2920000</v>
      </c>
      <c r="E24" s="25">
        <v>1510000</v>
      </c>
      <c r="F24" s="25">
        <v>3550000</v>
      </c>
    </row>
    <row r="25" spans="1:6" ht="28" x14ac:dyDescent="0.3">
      <c r="B25" s="10" t="s">
        <v>160</v>
      </c>
      <c r="C25" s="7">
        <v>23</v>
      </c>
      <c r="D25" s="25">
        <v>160000</v>
      </c>
      <c r="E25" s="25">
        <v>2340000</v>
      </c>
      <c r="F25" s="25">
        <v>10000</v>
      </c>
    </row>
    <row r="26" spans="1:6" x14ac:dyDescent="0.3">
      <c r="B26" s="10" t="s">
        <v>161</v>
      </c>
      <c r="C26" s="7">
        <v>19</v>
      </c>
      <c r="D26" s="25">
        <v>3330000</v>
      </c>
      <c r="E26" s="25">
        <v>1220000</v>
      </c>
      <c r="F26" s="25">
        <v>6600000</v>
      </c>
    </row>
    <row r="27" spans="1:6" x14ac:dyDescent="0.3">
      <c r="A27" s="30"/>
      <c r="B27" s="10" t="s">
        <v>162</v>
      </c>
      <c r="C27" s="7">
        <v>20</v>
      </c>
      <c r="D27" s="25">
        <v>2780000</v>
      </c>
      <c r="E27" s="25">
        <v>1680000</v>
      </c>
      <c r="F27" s="25">
        <v>3050000</v>
      </c>
    </row>
    <row r="28" spans="1:6" x14ac:dyDescent="0.3">
      <c r="B28" s="10" t="s">
        <v>163</v>
      </c>
      <c r="C28" s="7">
        <v>21</v>
      </c>
      <c r="D28" s="25">
        <v>2000000</v>
      </c>
      <c r="E28" s="25">
        <v>2000000</v>
      </c>
      <c r="F28" s="25">
        <v>10000000</v>
      </c>
    </row>
    <row r="29" spans="1:6" x14ac:dyDescent="0.3">
      <c r="B29" s="10" t="s">
        <v>164</v>
      </c>
      <c r="C29" s="7">
        <v>22</v>
      </c>
      <c r="D29" s="25">
        <v>20000</v>
      </c>
      <c r="E29" s="25">
        <v>190000</v>
      </c>
      <c r="F29" s="25">
        <v>280000</v>
      </c>
    </row>
    <row r="30" spans="1:6" ht="14.5" thickBot="1" x14ac:dyDescent="0.35">
      <c r="B30" s="10" t="s">
        <v>165</v>
      </c>
      <c r="C30" s="7">
        <v>24</v>
      </c>
      <c r="D30" s="31">
        <v>0</v>
      </c>
      <c r="E30" s="31">
        <v>70000</v>
      </c>
      <c r="F30" s="31">
        <v>50000</v>
      </c>
    </row>
    <row r="31" spans="1:6" ht="14.5" thickBot="1" x14ac:dyDescent="0.35">
      <c r="B31" s="10"/>
      <c r="C31" s="7"/>
      <c r="D31" s="27">
        <f>SUM(D23:D30)</f>
        <v>22680000</v>
      </c>
      <c r="E31" s="27">
        <f>SUM(E23:E30)</f>
        <v>11270000</v>
      </c>
      <c r="F31" s="27">
        <f>SUM(F23:F30)</f>
        <v>24960000</v>
      </c>
    </row>
    <row r="32" spans="1:6" x14ac:dyDescent="0.3">
      <c r="B32" s="6" t="s">
        <v>166</v>
      </c>
      <c r="C32" s="7"/>
      <c r="D32" s="8"/>
      <c r="E32" s="8"/>
      <c r="F32" s="8"/>
    </row>
    <row r="33" spans="1:6" x14ac:dyDescent="0.3">
      <c r="B33" s="9" t="s">
        <v>167</v>
      </c>
      <c r="C33" s="7">
        <v>17</v>
      </c>
      <c r="D33" s="25">
        <v>21450000</v>
      </c>
      <c r="E33" s="25">
        <v>33140000</v>
      </c>
      <c r="F33" s="25">
        <v>4520000</v>
      </c>
    </row>
    <row r="34" spans="1:6" x14ac:dyDescent="0.3">
      <c r="B34" s="9" t="s">
        <v>159</v>
      </c>
      <c r="C34" s="7">
        <v>18</v>
      </c>
      <c r="D34" s="25"/>
      <c r="E34" s="25"/>
      <c r="F34" s="25"/>
    </row>
    <row r="35" spans="1:6" ht="28" x14ac:dyDescent="0.3">
      <c r="B35" s="10" t="s">
        <v>160</v>
      </c>
      <c r="C35" s="7">
        <v>23</v>
      </c>
      <c r="D35" s="25">
        <v>0</v>
      </c>
      <c r="E35" s="25">
        <v>0</v>
      </c>
      <c r="F35" s="25">
        <v>2300000</v>
      </c>
    </row>
    <row r="36" spans="1:6" x14ac:dyDescent="0.3">
      <c r="B36" s="10" t="s">
        <v>161</v>
      </c>
      <c r="C36" s="7">
        <v>19</v>
      </c>
      <c r="D36" s="25"/>
      <c r="E36" s="25"/>
      <c r="F36" s="25"/>
    </row>
    <row r="37" spans="1:6" x14ac:dyDescent="0.3">
      <c r="A37" s="30"/>
      <c r="B37" s="10" t="s">
        <v>162</v>
      </c>
      <c r="C37" s="7">
        <v>20</v>
      </c>
      <c r="D37" s="25">
        <v>1330000</v>
      </c>
      <c r="E37" s="25">
        <v>3270000</v>
      </c>
      <c r="F37" s="25">
        <v>3420000</v>
      </c>
    </row>
    <row r="38" spans="1:6" x14ac:dyDescent="0.3">
      <c r="B38" s="10" t="s">
        <v>163</v>
      </c>
      <c r="C38" s="7">
        <v>21</v>
      </c>
      <c r="D38" s="25">
        <v>0</v>
      </c>
      <c r="E38" s="25">
        <v>0</v>
      </c>
      <c r="F38" s="25">
        <v>670000</v>
      </c>
    </row>
    <row r="39" spans="1:6" x14ac:dyDescent="0.3">
      <c r="B39" s="10" t="s">
        <v>164</v>
      </c>
      <c r="C39" s="7">
        <v>22</v>
      </c>
      <c r="D39" s="25"/>
      <c r="E39" s="25"/>
      <c r="F39" s="25"/>
    </row>
    <row r="40" spans="1:6" ht="14.5" thickBot="1" x14ac:dyDescent="0.35">
      <c r="B40" s="10" t="s">
        <v>165</v>
      </c>
      <c r="C40" s="7">
        <v>24</v>
      </c>
      <c r="D40" s="31"/>
      <c r="E40" s="31"/>
      <c r="F40" s="31"/>
    </row>
    <row r="41" spans="1:6" ht="14.5" thickBot="1" x14ac:dyDescent="0.35">
      <c r="B41" s="6"/>
      <c r="C41" s="7"/>
      <c r="D41" s="8">
        <f>SUM(D33:D40)</f>
        <v>22780000</v>
      </c>
      <c r="E41" s="8">
        <f>SUM(E33:E40)</f>
        <v>36410000</v>
      </c>
      <c r="F41" s="8">
        <f>SUM(F33:F40)</f>
        <v>10910000</v>
      </c>
    </row>
    <row r="42" spans="1:6" ht="14.5" thickBot="1" x14ac:dyDescent="0.35">
      <c r="B42" s="6" t="s">
        <v>168</v>
      </c>
      <c r="C42" s="7"/>
      <c r="D42" s="32">
        <f>+D41+D31</f>
        <v>45460000</v>
      </c>
      <c r="E42" s="32">
        <f>+E41+E31</f>
        <v>47680000</v>
      </c>
      <c r="F42" s="32">
        <f>+F41+F31</f>
        <v>35870000</v>
      </c>
    </row>
    <row r="43" spans="1:6" ht="14.5" thickTop="1" x14ac:dyDescent="0.3">
      <c r="B43" s="6"/>
      <c r="C43" s="7"/>
      <c r="D43" s="29"/>
      <c r="E43" s="29"/>
      <c r="F43" s="29"/>
    </row>
    <row r="44" spans="1:6" x14ac:dyDescent="0.3">
      <c r="B44" s="6" t="s">
        <v>169</v>
      </c>
      <c r="C44" s="7"/>
    </row>
    <row r="45" spans="1:6" x14ac:dyDescent="0.3">
      <c r="B45" s="10" t="s">
        <v>170</v>
      </c>
      <c r="C45" s="7"/>
      <c r="D45" s="35">
        <v>25000000</v>
      </c>
      <c r="E45" s="35">
        <v>25000000</v>
      </c>
      <c r="F45" s="35">
        <v>45000000</v>
      </c>
    </row>
    <row r="46" spans="1:6" x14ac:dyDescent="0.3">
      <c r="B46" s="10" t="s">
        <v>171</v>
      </c>
      <c r="C46" s="7"/>
      <c r="D46" s="35">
        <v>1940000</v>
      </c>
      <c r="E46" s="35">
        <v>2800000</v>
      </c>
      <c r="F46" s="35">
        <v>2800000</v>
      </c>
    </row>
    <row r="47" spans="1:6" x14ac:dyDescent="0.3">
      <c r="B47" s="10" t="s">
        <v>172</v>
      </c>
      <c r="C47" s="7"/>
      <c r="D47" s="35">
        <v>-100000</v>
      </c>
      <c r="E47" s="35">
        <v>930000</v>
      </c>
      <c r="F47" s="35">
        <v>930000</v>
      </c>
    </row>
    <row r="48" spans="1:6" x14ac:dyDescent="0.3">
      <c r="B48" s="10" t="s">
        <v>173</v>
      </c>
      <c r="C48" s="7"/>
      <c r="D48" s="35">
        <v>-34380000</v>
      </c>
      <c r="E48" s="35">
        <f>+D48+D49</f>
        <v>-42480000</v>
      </c>
      <c r="F48" s="35">
        <f>+E48+E49</f>
        <v>-54530000</v>
      </c>
    </row>
    <row r="49" spans="2:6" ht="14.5" thickBot="1" x14ac:dyDescent="0.35">
      <c r="B49" s="10" t="s">
        <v>174</v>
      </c>
      <c r="C49" s="7"/>
      <c r="D49" s="26">
        <f>+'CPP_20-22'!D34</f>
        <v>-8100000</v>
      </c>
      <c r="E49" s="26">
        <f>+'CPP_20-22'!E34</f>
        <v>-12050000</v>
      </c>
      <c r="F49" s="26">
        <f>+'CPP_20-22'!F34</f>
        <v>-3230000</v>
      </c>
    </row>
    <row r="50" spans="2:6" ht="14.5" thickBot="1" x14ac:dyDescent="0.35">
      <c r="B50" s="15" t="s">
        <v>175</v>
      </c>
      <c r="C50" s="7"/>
      <c r="D50" s="27">
        <f>SUM(D45:D49)</f>
        <v>-15640000</v>
      </c>
      <c r="E50" s="27">
        <f>SUM(E45:E49)</f>
        <v>-25800000</v>
      </c>
      <c r="F50" s="27">
        <f>SUM(F45:F49)</f>
        <v>-9030000</v>
      </c>
    </row>
    <row r="51" spans="2:6" x14ac:dyDescent="0.3">
      <c r="B51" s="10"/>
      <c r="C51" s="7"/>
      <c r="D51" s="8"/>
      <c r="E51" s="8"/>
      <c r="F51" s="8"/>
    </row>
    <row r="52" spans="2:6" ht="14.5" thickBot="1" x14ac:dyDescent="0.35">
      <c r="B52" s="6" t="s">
        <v>176</v>
      </c>
      <c r="C52" s="7"/>
      <c r="D52" s="8">
        <f>+D50+D42</f>
        <v>29820000</v>
      </c>
      <c r="E52" s="8">
        <f>+E50+E42</f>
        <v>21880000</v>
      </c>
      <c r="F52" s="8">
        <f>+F50+F42</f>
        <v>26840000</v>
      </c>
    </row>
    <row r="53" spans="2:6" ht="14.5" thickTop="1" x14ac:dyDescent="0.3">
      <c r="D53" s="29"/>
      <c r="E53" s="29"/>
      <c r="F53" s="29"/>
    </row>
    <row r="54" spans="2:6" x14ac:dyDescent="0.3">
      <c r="D54" s="33">
        <f>+D52-D20</f>
        <v>0</v>
      </c>
      <c r="E54" s="33">
        <f>+E52-E20</f>
        <v>0</v>
      </c>
      <c r="F54" s="33">
        <f>+F52-F20</f>
        <v>0</v>
      </c>
    </row>
    <row r="56" spans="2:6" ht="33" customHeight="1" x14ac:dyDescent="0.3">
      <c r="B56" s="178" t="s">
        <v>104</v>
      </c>
      <c r="C56" s="178"/>
      <c r="D56" s="178"/>
      <c r="E56" s="178"/>
      <c r="F56" s="178"/>
    </row>
    <row r="57" spans="2:6" ht="14.5" x14ac:dyDescent="0.35">
      <c r="B57"/>
      <c r="C57"/>
      <c r="D57" s="76"/>
      <c r="E57" s="76"/>
      <c r="F57" s="76"/>
    </row>
    <row r="58" spans="2:6" ht="14.5" x14ac:dyDescent="0.35">
      <c r="B58" s="76" t="s">
        <v>105</v>
      </c>
      <c r="C58" s="76"/>
    </row>
    <row r="60" spans="2:6" x14ac:dyDescent="0.3">
      <c r="D60" s="144" t="s">
        <v>246</v>
      </c>
    </row>
    <row r="61" spans="2:6" x14ac:dyDescent="0.3">
      <c r="D61" s="24" t="s">
        <v>244</v>
      </c>
      <c r="E61" s="141">
        <f>+D50</f>
        <v>-15640000</v>
      </c>
      <c r="F61" s="141">
        <f>+E50</f>
        <v>-25800000</v>
      </c>
    </row>
    <row r="62" spans="2:6" x14ac:dyDescent="0.3">
      <c r="D62" s="143" t="str">
        <f>+B45</f>
        <v>Capital social</v>
      </c>
      <c r="E62" s="142">
        <f t="shared" ref="E62:F64" si="0">+E45-D45</f>
        <v>0</v>
      </c>
      <c r="F62" s="142">
        <f t="shared" si="0"/>
        <v>20000000</v>
      </c>
    </row>
    <row r="63" spans="2:6" x14ac:dyDescent="0.3">
      <c r="D63" s="143" t="str">
        <f t="shared" ref="D63:D66" si="1">+B46</f>
        <v>Rezerve din reevaluare</v>
      </c>
      <c r="E63" s="142">
        <f t="shared" si="0"/>
        <v>860000</v>
      </c>
      <c r="F63" s="142">
        <f t="shared" si="0"/>
        <v>0</v>
      </c>
    </row>
    <row r="64" spans="2:6" x14ac:dyDescent="0.3">
      <c r="D64" s="143" t="str">
        <f t="shared" si="1"/>
        <v>Alte rezerve</v>
      </c>
      <c r="E64" s="142">
        <f t="shared" si="0"/>
        <v>1030000</v>
      </c>
      <c r="F64" s="142">
        <f t="shared" si="0"/>
        <v>0</v>
      </c>
    </row>
    <row r="65" spans="2:6" x14ac:dyDescent="0.3">
      <c r="D65" s="143" t="str">
        <f t="shared" si="1"/>
        <v>Rezultat reportat</v>
      </c>
      <c r="E65" s="142">
        <f>+E48-D48-D49</f>
        <v>0</v>
      </c>
      <c r="F65" s="142">
        <f>+F48-E48</f>
        <v>-12050000</v>
      </c>
    </row>
    <row r="66" spans="2:6" x14ac:dyDescent="0.3">
      <c r="D66" s="143" t="str">
        <f t="shared" si="1"/>
        <v>Rezultat curent</v>
      </c>
      <c r="E66" s="142">
        <f>+E49</f>
        <v>-12050000</v>
      </c>
      <c r="F66" s="142">
        <f>+F49-E49</f>
        <v>8820000</v>
      </c>
    </row>
    <row r="67" spans="2:6" x14ac:dyDescent="0.3">
      <c r="D67" s="24" t="s">
        <v>245</v>
      </c>
      <c r="E67" s="141">
        <f>SUM(E61:E66)</f>
        <v>-25800000</v>
      </c>
      <c r="F67" s="141">
        <f>SUM(F61:F66)</f>
        <v>-9030000</v>
      </c>
    </row>
    <row r="68" spans="2:6" x14ac:dyDescent="0.3">
      <c r="E68" s="77">
        <f>+E67-E50</f>
        <v>0</v>
      </c>
      <c r="F68" s="77">
        <f>+F67-F50</f>
        <v>0</v>
      </c>
    </row>
    <row r="70" spans="2:6" ht="14.5" x14ac:dyDescent="0.3">
      <c r="B70" s="178"/>
      <c r="C70" s="178"/>
    </row>
    <row r="71" spans="2:6" ht="14.5" x14ac:dyDescent="0.35">
      <c r="B71"/>
      <c r="C71"/>
    </row>
    <row r="72" spans="2:6" ht="14.5" x14ac:dyDescent="0.35">
      <c r="B72" s="76"/>
      <c r="C72" s="76"/>
    </row>
  </sheetData>
  <mergeCells count="2">
    <mergeCell ref="B70:C70"/>
    <mergeCell ref="B56:F56"/>
  </mergeCells>
  <pageMargins left="0.5" right="0.7" top="0.46" bottom="0.52" header="0.17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2B58-78CF-4581-9713-3309BAD24A0C}">
  <sheetPr>
    <tabColor rgb="FFC00000"/>
  </sheetPr>
  <dimension ref="A2:J139"/>
  <sheetViews>
    <sheetView topLeftCell="A24" zoomScale="85" zoomScaleNormal="85" workbookViewId="0">
      <selection activeCell="D84" sqref="D84"/>
    </sheetView>
  </sheetViews>
  <sheetFormatPr defaultColWidth="8.26953125" defaultRowHeight="14.5" x14ac:dyDescent="0.35"/>
  <cols>
    <col min="1" max="1" width="8.26953125" style="56"/>
    <col min="2" max="2" width="49.90625" style="56" customWidth="1"/>
    <col min="3" max="3" width="6.453125" style="56" customWidth="1"/>
    <col min="4" max="4" width="11.6328125" style="56" bestFit="1" customWidth="1"/>
    <col min="5" max="5" width="12.453125" style="56" bestFit="1" customWidth="1"/>
    <col min="6" max="6" width="11.6328125" style="56" bestFit="1" customWidth="1"/>
    <col min="7" max="7" width="4" style="56" customWidth="1"/>
    <col min="8" max="8" width="13.36328125" style="56" bestFit="1" customWidth="1"/>
    <col min="9" max="9" width="8.26953125" style="56"/>
    <col min="10" max="10" width="4.81640625" style="80" customWidth="1"/>
    <col min="11" max="11" width="55.1796875" style="56" customWidth="1"/>
    <col min="12" max="12" width="16.81640625" style="56" customWidth="1"/>
    <col min="13" max="13" width="13.26953125" style="56" customWidth="1"/>
    <col min="14" max="16384" width="8.26953125" style="56"/>
  </cols>
  <sheetData>
    <row r="2" spans="2:10" x14ac:dyDescent="0.35">
      <c r="B2" s="78" t="s">
        <v>207</v>
      </c>
      <c r="C2" s="78"/>
      <c r="D2" s="79">
        <v>2020</v>
      </c>
      <c r="E2" s="79">
        <v>2021</v>
      </c>
      <c r="F2" s="79">
        <v>2022</v>
      </c>
      <c r="H2" s="79" t="s">
        <v>209</v>
      </c>
    </row>
    <row r="3" spans="2:10" x14ac:dyDescent="0.35">
      <c r="B3" s="81"/>
      <c r="C3" s="81"/>
      <c r="D3" s="82"/>
      <c r="E3" s="82"/>
      <c r="F3" s="82"/>
      <c r="H3" s="82"/>
    </row>
    <row r="4" spans="2:10" x14ac:dyDescent="0.35">
      <c r="B4" s="81" t="s">
        <v>90</v>
      </c>
      <c r="C4" s="81"/>
      <c r="D4" s="83">
        <f>+D46</f>
        <v>25710000</v>
      </c>
      <c r="E4" s="83">
        <f>+E46</f>
        <v>23940000</v>
      </c>
      <c r="F4" s="83">
        <f>+F46</f>
        <v>28470000</v>
      </c>
      <c r="H4" s="83">
        <f>SUM(D4:G4)</f>
        <v>78120000</v>
      </c>
      <c r="J4" s="84"/>
    </row>
    <row r="5" spans="2:10" x14ac:dyDescent="0.35">
      <c r="B5" s="81" t="str">
        <f>+B114</f>
        <v>Rezultat din cedarea activelor - drepturi de legitimare</v>
      </c>
      <c r="C5" s="81"/>
      <c r="D5" s="85">
        <f>+D59</f>
        <v>370000</v>
      </c>
      <c r="E5" s="85">
        <f>+E59</f>
        <v>-1200000</v>
      </c>
      <c r="F5" s="85">
        <f>+F59</f>
        <v>770000</v>
      </c>
      <c r="H5" s="85">
        <f>SUM(D5:G5)</f>
        <v>-60000</v>
      </c>
    </row>
    <row r="6" spans="2:10" x14ac:dyDescent="0.35">
      <c r="B6" s="81" t="s">
        <v>91</v>
      </c>
      <c r="C6" s="81"/>
      <c r="D6" s="83">
        <f>+D125+D127+D129</f>
        <v>110000</v>
      </c>
      <c r="E6" s="83">
        <f>+E125+E127+E129</f>
        <v>120000</v>
      </c>
      <c r="F6" s="83">
        <f>+F125+F127+F129</f>
        <v>880000</v>
      </c>
      <c r="H6" s="83">
        <f>SUM(D6:G6)</f>
        <v>1110000</v>
      </c>
    </row>
    <row r="7" spans="2:10" x14ac:dyDescent="0.35">
      <c r="B7" s="86" t="s">
        <v>92</v>
      </c>
      <c r="C7" s="86"/>
      <c r="D7" s="82"/>
      <c r="E7" s="82"/>
      <c r="F7" s="82"/>
      <c r="H7" s="82"/>
    </row>
    <row r="8" spans="2:10" x14ac:dyDescent="0.35">
      <c r="B8" s="87" t="s">
        <v>93</v>
      </c>
      <c r="C8" s="87"/>
      <c r="D8" s="88">
        <f t="shared" ref="D8:F9" si="0">-D72</f>
        <v>0</v>
      </c>
      <c r="E8" s="88">
        <f t="shared" si="0"/>
        <v>0</v>
      </c>
      <c r="F8" s="88">
        <f t="shared" si="0"/>
        <v>0</v>
      </c>
      <c r="H8" s="88">
        <f>SUM(F8:G8)</f>
        <v>0</v>
      </c>
    </row>
    <row r="9" spans="2:10" x14ac:dyDescent="0.35">
      <c r="B9" s="87" t="s">
        <v>37</v>
      </c>
      <c r="C9" s="87"/>
      <c r="D9" s="88">
        <f t="shared" si="0"/>
        <v>-10000</v>
      </c>
      <c r="E9" s="88">
        <f t="shared" si="0"/>
        <v>-120000</v>
      </c>
      <c r="F9" s="88">
        <f t="shared" si="0"/>
        <v>-1000000</v>
      </c>
      <c r="H9" s="88">
        <f>SUM(D9:G9)</f>
        <v>-1130000</v>
      </c>
    </row>
    <row r="10" spans="2:10" ht="16" x14ac:dyDescent="0.5">
      <c r="B10" s="87" t="s">
        <v>94</v>
      </c>
      <c r="C10" s="87"/>
      <c r="D10" s="89">
        <f>-D76</f>
        <v>-230000</v>
      </c>
      <c r="E10" s="89">
        <f>-E76</f>
        <v>0</v>
      </c>
      <c r="F10" s="89">
        <f>-F76</f>
        <v>0</v>
      </c>
      <c r="H10" s="89">
        <f>SUM(D10:G10)</f>
        <v>-230000</v>
      </c>
    </row>
    <row r="11" spans="2:10" x14ac:dyDescent="0.35">
      <c r="B11" s="90" t="s">
        <v>95</v>
      </c>
      <c r="C11" s="90"/>
      <c r="D11" s="91">
        <f>SUM(D4:D10)</f>
        <v>25950000</v>
      </c>
      <c r="E11" s="91">
        <f>SUM(E4:E10)</f>
        <v>22740000</v>
      </c>
      <c r="F11" s="91">
        <f>SUM(F4:F10)</f>
        <v>29120000</v>
      </c>
      <c r="H11" s="91">
        <f>SUM(H4:H10)</f>
        <v>77810000</v>
      </c>
    </row>
    <row r="12" spans="2:10" x14ac:dyDescent="0.35">
      <c r="B12" s="90"/>
      <c r="C12" s="90"/>
      <c r="D12" s="91"/>
      <c r="E12" s="91"/>
      <c r="F12" s="91"/>
      <c r="H12" s="91"/>
    </row>
    <row r="13" spans="2:10" x14ac:dyDescent="0.35">
      <c r="B13" s="81" t="s">
        <v>96</v>
      </c>
      <c r="C13" s="81"/>
      <c r="D13" s="83">
        <f>-D52</f>
        <v>33830000</v>
      </c>
      <c r="E13" s="83">
        <f>-E52</f>
        <v>34380000</v>
      </c>
      <c r="F13" s="83">
        <f>-F52</f>
        <v>32600000</v>
      </c>
      <c r="H13" s="83">
        <f>SUM(D13:G13)</f>
        <v>100810000</v>
      </c>
    </row>
    <row r="14" spans="2:10" x14ac:dyDescent="0.35">
      <c r="B14" s="81" t="s">
        <v>97</v>
      </c>
      <c r="C14" s="81"/>
      <c r="D14" s="83">
        <f>-(D126+D128+D131+D130)</f>
        <v>520000</v>
      </c>
      <c r="E14" s="83">
        <f>-(E126+E128+E131+E130)</f>
        <v>530000</v>
      </c>
      <c r="F14" s="83">
        <f>-(F126+F128+F131+F130)</f>
        <v>1150000</v>
      </c>
      <c r="H14" s="83">
        <f>SUM(D14:G14)</f>
        <v>2200000</v>
      </c>
    </row>
    <row r="15" spans="2:10" x14ac:dyDescent="0.35">
      <c r="B15" s="81" t="s">
        <v>98</v>
      </c>
      <c r="C15" s="81"/>
      <c r="D15" s="88">
        <v>0</v>
      </c>
      <c r="E15" s="88">
        <v>0</v>
      </c>
      <c r="F15" s="88">
        <v>0</v>
      </c>
      <c r="H15" s="88">
        <f>SUM(F15:G15)</f>
        <v>0</v>
      </c>
    </row>
    <row r="16" spans="2:10" x14ac:dyDescent="0.35">
      <c r="B16" s="86" t="s">
        <v>92</v>
      </c>
      <c r="C16" s="86"/>
      <c r="D16" s="80"/>
      <c r="E16" s="80"/>
      <c r="F16" s="80"/>
      <c r="H16" s="80"/>
    </row>
    <row r="17" spans="2:8" x14ac:dyDescent="0.35">
      <c r="B17" s="92" t="s">
        <v>99</v>
      </c>
      <c r="C17" s="92"/>
      <c r="D17" s="88">
        <f>+D50</f>
        <v>-850000</v>
      </c>
      <c r="E17" s="88">
        <f>+E50</f>
        <v>-1050000</v>
      </c>
      <c r="F17" s="88">
        <f>+F50</f>
        <v>-1190000</v>
      </c>
      <c r="H17" s="88">
        <f>SUM(D17:G17)</f>
        <v>-3090000</v>
      </c>
    </row>
    <row r="18" spans="2:8" x14ac:dyDescent="0.35">
      <c r="B18" s="92" t="s">
        <v>100</v>
      </c>
      <c r="C18" s="92"/>
      <c r="D18" s="88">
        <f>-D103</f>
        <v>0</v>
      </c>
      <c r="E18" s="88">
        <f>-E103</f>
        <v>0</v>
      </c>
      <c r="F18" s="88">
        <f>-F103</f>
        <v>0</v>
      </c>
      <c r="H18" s="88">
        <f>SUM(F18:G18)</f>
        <v>0</v>
      </c>
    </row>
    <row r="19" spans="2:8" ht="16" x14ac:dyDescent="0.5">
      <c r="B19" s="92" t="s">
        <v>75</v>
      </c>
      <c r="C19" s="92"/>
      <c r="D19" s="89">
        <f>-D108</f>
        <v>0</v>
      </c>
      <c r="E19" s="89">
        <f>-E108</f>
        <v>0</v>
      </c>
      <c r="F19" s="89">
        <f>-F108</f>
        <v>0</v>
      </c>
      <c r="H19" s="89">
        <f>SUM(D19:G19)</f>
        <v>0</v>
      </c>
    </row>
    <row r="20" spans="2:8" x14ac:dyDescent="0.35">
      <c r="B20" s="93" t="s">
        <v>102</v>
      </c>
      <c r="C20" s="93"/>
      <c r="D20" s="91">
        <f>SUM(D13:D19)</f>
        <v>33500000</v>
      </c>
      <c r="E20" s="91">
        <f>SUM(E13:E19)</f>
        <v>33860000</v>
      </c>
      <c r="F20" s="91">
        <f>SUM(F13:F19)</f>
        <v>32560000</v>
      </c>
      <c r="H20" s="91">
        <f>SUM(H13:H19)</f>
        <v>99920000</v>
      </c>
    </row>
    <row r="21" spans="2:8" ht="15" thickBot="1" x14ac:dyDescent="0.4">
      <c r="D21" s="80"/>
      <c r="E21" s="80"/>
      <c r="F21" s="80"/>
      <c r="H21" s="80"/>
    </row>
    <row r="22" spans="2:8" ht="15" thickBot="1" x14ac:dyDescent="0.4">
      <c r="B22" s="60" t="s">
        <v>103</v>
      </c>
      <c r="C22" s="60"/>
      <c r="D22" s="94">
        <f>+D11-D20</f>
        <v>-7550000</v>
      </c>
      <c r="E22" s="94">
        <f>+E11-E20</f>
        <v>-11120000</v>
      </c>
      <c r="F22" s="94">
        <f>+F11-F20</f>
        <v>-3440000</v>
      </c>
      <c r="H22" s="94">
        <f>+H11-H20</f>
        <v>-22110000</v>
      </c>
    </row>
    <row r="23" spans="2:8" x14ac:dyDescent="0.35">
      <c r="D23" s="95">
        <f>SUM(D4:D6)-SUM(D13:D14)-D64+D63+D61</f>
        <v>0</v>
      </c>
      <c r="E23" s="95">
        <f>SUM(E4:E6)-SUM(E13:E14)-E64+E63+E61</f>
        <v>0</v>
      </c>
      <c r="F23" s="95">
        <f>SUM(F4:F6)-SUM(F13:F14)-F64+F63+F61</f>
        <v>0</v>
      </c>
    </row>
    <row r="24" spans="2:8" x14ac:dyDescent="0.35">
      <c r="B24" s="60" t="s">
        <v>177</v>
      </c>
      <c r="C24" s="60"/>
    </row>
    <row r="25" spans="2:8" x14ac:dyDescent="0.35">
      <c r="B25" s="92" t="s">
        <v>71</v>
      </c>
      <c r="C25" s="92"/>
      <c r="D25" s="88">
        <f>+D83+D85+D104</f>
        <v>2220000</v>
      </c>
      <c r="E25" s="88">
        <f>+E83+E85+E104</f>
        <v>1990000</v>
      </c>
      <c r="F25" s="88">
        <f>+F83+F85+F104</f>
        <v>2300000</v>
      </c>
      <c r="H25" s="88">
        <f>SUM(D25:G25)</f>
        <v>6510000</v>
      </c>
    </row>
    <row r="26" spans="2:8" x14ac:dyDescent="0.35">
      <c r="B26" s="92" t="s">
        <v>178</v>
      </c>
      <c r="C26" s="92"/>
      <c r="D26" s="88">
        <f>+D105</f>
        <v>0</v>
      </c>
      <c r="E26" s="88">
        <f>+E105</f>
        <v>0</v>
      </c>
      <c r="F26" s="88">
        <f>+F105</f>
        <v>0</v>
      </c>
      <c r="H26" s="88">
        <f>SUM(D26:G26)</f>
        <v>0</v>
      </c>
    </row>
    <row r="27" spans="2:8" x14ac:dyDescent="0.35">
      <c r="B27" s="92" t="s">
        <v>73</v>
      </c>
      <c r="C27" s="92"/>
      <c r="D27" s="88">
        <f t="shared" ref="D27:F28" si="1">+D106+D86</f>
        <v>50000</v>
      </c>
      <c r="E27" s="88">
        <f t="shared" si="1"/>
        <v>60000</v>
      </c>
      <c r="F27" s="88">
        <f t="shared" si="1"/>
        <v>70000</v>
      </c>
      <c r="H27" s="88">
        <f>SUM(D27:G27)</f>
        <v>180000</v>
      </c>
    </row>
    <row r="28" spans="2:8" x14ac:dyDescent="0.35">
      <c r="B28" s="92" t="s">
        <v>179</v>
      </c>
      <c r="C28" s="92"/>
      <c r="D28" s="88">
        <f t="shared" si="1"/>
        <v>0</v>
      </c>
      <c r="E28" s="88">
        <f t="shared" si="1"/>
        <v>0</v>
      </c>
      <c r="F28" s="88">
        <f t="shared" si="1"/>
        <v>0</v>
      </c>
      <c r="H28" s="88">
        <f>SUM(D24:G24)</f>
        <v>0</v>
      </c>
    </row>
    <row r="29" spans="2:8" ht="15" thickBot="1" x14ac:dyDescent="0.4">
      <c r="B29" s="92" t="s">
        <v>180</v>
      </c>
      <c r="C29" s="92"/>
      <c r="D29" s="88">
        <v>0</v>
      </c>
      <c r="E29" s="88">
        <v>0</v>
      </c>
      <c r="F29" s="88">
        <v>0</v>
      </c>
      <c r="H29" s="88"/>
    </row>
    <row r="30" spans="2:8" ht="15" thickBot="1" x14ac:dyDescent="0.4">
      <c r="B30" s="60" t="s">
        <v>181</v>
      </c>
      <c r="C30" s="60"/>
      <c r="D30" s="94">
        <f>SUM(D25:D29)</f>
        <v>2270000</v>
      </c>
      <c r="E30" s="94">
        <f>SUM(E25:E29)</f>
        <v>2050000</v>
      </c>
      <c r="F30" s="94">
        <f>SUM(F25:F29)</f>
        <v>2370000</v>
      </c>
      <c r="H30" s="94">
        <f>SUM(H25:H29)</f>
        <v>6690000</v>
      </c>
    </row>
    <row r="33" spans="2:8" x14ac:dyDescent="0.35">
      <c r="B33" s="75" t="s">
        <v>104</v>
      </c>
      <c r="C33" s="75"/>
      <c r="D33" s="75"/>
      <c r="E33" s="75"/>
      <c r="F33" s="75"/>
      <c r="H33" s="75"/>
    </row>
    <row r="34" spans="2:8" x14ac:dyDescent="0.35">
      <c r="B34" s="179" t="s">
        <v>105</v>
      </c>
      <c r="C34" s="179"/>
      <c r="D34" s="179"/>
      <c r="E34" s="179"/>
      <c r="F34" s="179"/>
    </row>
    <row r="36" spans="2:8" x14ac:dyDescent="0.35">
      <c r="B36" s="96" t="s">
        <v>106</v>
      </c>
      <c r="C36" s="96"/>
      <c r="D36" s="97">
        <f>+$D$2</f>
        <v>2020</v>
      </c>
      <c r="E36" s="97">
        <f>+$E$2</f>
        <v>2021</v>
      </c>
      <c r="F36" s="97">
        <f>+$F$2</f>
        <v>2022</v>
      </c>
      <c r="H36" s="97" t="s">
        <v>89</v>
      </c>
    </row>
    <row r="37" spans="2:8" x14ac:dyDescent="0.35">
      <c r="B37" s="98"/>
      <c r="C37" s="98"/>
      <c r="D37" s="99"/>
      <c r="E37" s="99"/>
      <c r="F37" s="99"/>
      <c r="H37" s="99"/>
    </row>
    <row r="38" spans="2:8" x14ac:dyDescent="0.35">
      <c r="B38" s="98" t="s">
        <v>3</v>
      </c>
      <c r="C38" s="98"/>
      <c r="D38" s="100"/>
      <c r="E38" s="100"/>
      <c r="F38" s="100"/>
      <c r="H38" s="100"/>
    </row>
    <row r="39" spans="2:8" x14ac:dyDescent="0.35">
      <c r="B39" s="101" t="s">
        <v>4</v>
      </c>
      <c r="C39" s="101"/>
      <c r="D39" s="102">
        <f>+'CPP_20-22'!D5</f>
        <v>590000</v>
      </c>
      <c r="E39" s="102">
        <f>+'CPP_20-22'!E5</f>
        <v>380000</v>
      </c>
      <c r="F39" s="102">
        <f>+'CPP_20-22'!F5</f>
        <v>1090000</v>
      </c>
      <c r="H39" s="102">
        <f>SUM(D39:G39)</f>
        <v>2060000</v>
      </c>
    </row>
    <row r="40" spans="2:8" x14ac:dyDescent="0.35">
      <c r="B40" s="101" t="s">
        <v>5</v>
      </c>
      <c r="C40" s="101"/>
      <c r="D40" s="102">
        <f>+'CPP_20-22'!D6</f>
        <v>2840000</v>
      </c>
      <c r="E40" s="102">
        <f>+'CPP_20-22'!E6</f>
        <v>5400000</v>
      </c>
      <c r="F40" s="102">
        <f>+'CPP_20-22'!F6</f>
        <v>7090000</v>
      </c>
      <c r="H40" s="102">
        <f>SUM(D40:G40)</f>
        <v>15330000</v>
      </c>
    </row>
    <row r="41" spans="2:8" x14ac:dyDescent="0.35">
      <c r="B41" s="101" t="s">
        <v>6</v>
      </c>
      <c r="C41" s="101"/>
      <c r="D41" s="102">
        <f>+'CPP_20-22'!D7</f>
        <v>4750000</v>
      </c>
      <c r="E41" s="102">
        <f>+'CPP_20-22'!E7</f>
        <v>5860000</v>
      </c>
      <c r="F41" s="102">
        <f>+'CPP_20-22'!F7</f>
        <v>5270000</v>
      </c>
      <c r="H41" s="102">
        <f>SUM(D41:G41)</f>
        <v>15880000</v>
      </c>
    </row>
    <row r="42" spans="2:8" x14ac:dyDescent="0.35">
      <c r="B42" s="101" t="s">
        <v>7</v>
      </c>
      <c r="C42" s="101"/>
      <c r="D42" s="102">
        <f>+'CPP_20-22'!D8</f>
        <v>10000</v>
      </c>
      <c r="E42" s="102">
        <f>+'CPP_20-22'!E8</f>
        <v>30000</v>
      </c>
      <c r="F42" s="102">
        <f>+'CPP_20-22'!F8</f>
        <v>50000</v>
      </c>
      <c r="H42" s="102">
        <f>SUM(D42:G42)</f>
        <v>90000</v>
      </c>
    </row>
    <row r="43" spans="2:8" x14ac:dyDescent="0.35">
      <c r="B43" s="101" t="s">
        <v>107</v>
      </c>
      <c r="C43" s="101"/>
      <c r="D43" s="102">
        <f>+'CPP_20-22'!D9</f>
        <v>16880000</v>
      </c>
      <c r="E43" s="102">
        <f>+'CPP_20-22'!E9</f>
        <v>12000000</v>
      </c>
      <c r="F43" s="102">
        <f>+'CPP_20-22'!F9</f>
        <v>13720000</v>
      </c>
      <c r="H43" s="102">
        <f>SUM(D43:G43)</f>
        <v>42600000</v>
      </c>
    </row>
    <row r="44" spans="2:8" x14ac:dyDescent="0.35">
      <c r="B44" s="103" t="s">
        <v>108</v>
      </c>
      <c r="C44" s="103"/>
      <c r="D44" s="102">
        <f>+'CPP_20-22'!D10</f>
        <v>210000</v>
      </c>
      <c r="E44" s="102">
        <f>+'CPP_20-22'!E10</f>
        <v>0</v>
      </c>
      <c r="F44" s="102">
        <f>+'CPP_20-22'!F10</f>
        <v>0</v>
      </c>
      <c r="H44" s="102">
        <f>SUM(F44:G44)</f>
        <v>0</v>
      </c>
    </row>
    <row r="45" spans="2:8" ht="15" thickBot="1" x14ac:dyDescent="0.4">
      <c r="B45" s="101" t="s">
        <v>10</v>
      </c>
      <c r="C45" s="101"/>
      <c r="D45" s="104">
        <f>+'CPP_20-22'!D11</f>
        <v>430000</v>
      </c>
      <c r="E45" s="104">
        <f>+'CPP_20-22'!E11</f>
        <v>270000</v>
      </c>
      <c r="F45" s="104">
        <f>+'CPP_20-22'!F11</f>
        <v>1250000</v>
      </c>
      <c r="H45" s="104">
        <f>SUM(D45:G45)</f>
        <v>1950000</v>
      </c>
    </row>
    <row r="46" spans="2:8" ht="15" thickBot="1" x14ac:dyDescent="0.4">
      <c r="B46" s="98"/>
      <c r="C46" s="98"/>
      <c r="D46" s="105">
        <f>SUM(D39:D45)</f>
        <v>25710000</v>
      </c>
      <c r="E46" s="105">
        <f>SUM(E39:E45)</f>
        <v>23940000</v>
      </c>
      <c r="F46" s="105">
        <f>SUM(F39:F45)</f>
        <v>28470000</v>
      </c>
      <c r="H46" s="105">
        <f>SUM(H39:H45)</f>
        <v>77910000</v>
      </c>
    </row>
    <row r="47" spans="2:8" x14ac:dyDescent="0.35">
      <c r="B47" s="98" t="s">
        <v>12</v>
      </c>
      <c r="C47" s="98"/>
      <c r="D47" s="100"/>
      <c r="E47" s="100"/>
      <c r="F47" s="100"/>
      <c r="H47" s="100"/>
    </row>
    <row r="48" spans="2:8" x14ac:dyDescent="0.35">
      <c r="B48" s="98"/>
      <c r="C48" s="98"/>
      <c r="D48" s="100"/>
      <c r="E48" s="100"/>
      <c r="F48" s="100"/>
      <c r="H48" s="100"/>
    </row>
    <row r="49" spans="1:8" x14ac:dyDescent="0.35">
      <c r="B49" s="101" t="s">
        <v>14</v>
      </c>
      <c r="C49" s="101"/>
      <c r="D49" s="102">
        <f>+'CPP_20-22'!D16</f>
        <v>-25290000</v>
      </c>
      <c r="E49" s="102">
        <f>+'CPP_20-22'!E16</f>
        <v>-23500000</v>
      </c>
      <c r="F49" s="102">
        <f>+'CPP_20-22'!F16</f>
        <v>-19500000</v>
      </c>
      <c r="H49" s="102">
        <f>SUM(D49:G49)</f>
        <v>-68290000</v>
      </c>
    </row>
    <row r="50" spans="1:8" x14ac:dyDescent="0.35">
      <c r="B50" s="101" t="s">
        <v>109</v>
      </c>
      <c r="C50" s="101"/>
      <c r="D50" s="106">
        <f>+'CPP_20-22'!D17+'CPP_20-22'!D18</f>
        <v>-850000</v>
      </c>
      <c r="E50" s="106">
        <f>+'CPP_20-22'!E17+'CPP_20-22'!E18</f>
        <v>-1050000</v>
      </c>
      <c r="F50" s="106">
        <f>+'CPP_20-22'!F17+'CPP_20-22'!F18</f>
        <v>-1190000</v>
      </c>
      <c r="H50" s="106">
        <f>SUM(D50:G50)</f>
        <v>-3090000</v>
      </c>
    </row>
    <row r="51" spans="1:8" ht="15" thickBot="1" x14ac:dyDescent="0.4">
      <c r="B51" s="101" t="s">
        <v>110</v>
      </c>
      <c r="C51" s="101"/>
      <c r="D51" s="104">
        <f>+'CPP_20-22'!D15+'CPP_20-22'!D19</f>
        <v>-7690000</v>
      </c>
      <c r="E51" s="104">
        <f>+'CPP_20-22'!E15+'CPP_20-22'!E19</f>
        <v>-9830000</v>
      </c>
      <c r="F51" s="104">
        <f>+'CPP_20-22'!F15+'CPP_20-22'!F19</f>
        <v>-11910000</v>
      </c>
      <c r="H51" s="104">
        <f>SUM(D51:G51)</f>
        <v>-29430000</v>
      </c>
    </row>
    <row r="52" spans="1:8" ht="15" thickBot="1" x14ac:dyDescent="0.4">
      <c r="A52" s="80"/>
      <c r="B52" s="98"/>
      <c r="C52" s="98"/>
      <c r="D52" s="105">
        <f>SUM(D49:D51)</f>
        <v>-33830000</v>
      </c>
      <c r="E52" s="105">
        <f>SUM(E49:E51)</f>
        <v>-34380000</v>
      </c>
      <c r="F52" s="105">
        <f>SUM(F49:F51)</f>
        <v>-32600000</v>
      </c>
      <c r="H52" s="105">
        <f>SUM(H49:H51)</f>
        <v>-100810000</v>
      </c>
    </row>
    <row r="53" spans="1:8" x14ac:dyDescent="0.35">
      <c r="A53" s="80"/>
      <c r="B53" s="98"/>
      <c r="C53" s="98"/>
      <c r="D53" s="100"/>
      <c r="E53" s="100"/>
      <c r="F53" s="100"/>
      <c r="H53" s="100"/>
    </row>
    <row r="54" spans="1:8" x14ac:dyDescent="0.35">
      <c r="B54" s="98" t="s">
        <v>111</v>
      </c>
      <c r="C54" s="98"/>
      <c r="D54" s="100"/>
      <c r="E54" s="100"/>
      <c r="F54" s="100"/>
      <c r="H54" s="100"/>
    </row>
    <row r="55" spans="1:8" x14ac:dyDescent="0.35">
      <c r="B55" s="101" t="s">
        <v>112</v>
      </c>
      <c r="C55" s="101"/>
      <c r="D55" s="102">
        <f>+'CPP_20-22'!D23</f>
        <v>2130000</v>
      </c>
      <c r="E55" s="102">
        <f>+'CPP_20-22'!E23</f>
        <v>340000</v>
      </c>
      <c r="F55" s="102">
        <f>+'CPP_20-22'!F23</f>
        <v>1500000</v>
      </c>
      <c r="H55" s="102">
        <f>SUM(D55:G55)</f>
        <v>3970000</v>
      </c>
    </row>
    <row r="56" spans="1:8" x14ac:dyDescent="0.35">
      <c r="B56" s="101" t="s">
        <v>113</v>
      </c>
      <c r="C56" s="101"/>
      <c r="D56" s="102">
        <f>+'CPP_20-22'!D24</f>
        <v>-1500000</v>
      </c>
      <c r="E56" s="102">
        <f>+'CPP_20-22'!E24</f>
        <v>-1350000</v>
      </c>
      <c r="F56" s="102">
        <f>+'CPP_20-22'!F24</f>
        <v>-800000</v>
      </c>
      <c r="H56" s="102">
        <f>SUM(D56:G56)</f>
        <v>-3650000</v>
      </c>
    </row>
    <row r="57" spans="1:8" ht="29" x14ac:dyDescent="0.35">
      <c r="B57" s="101" t="s">
        <v>114</v>
      </c>
      <c r="C57" s="101"/>
      <c r="D57" s="102">
        <f>+'CPP_20-22'!D25</f>
        <v>30000</v>
      </c>
      <c r="E57" s="102">
        <f>+'CPP_20-22'!E25</f>
        <v>30000</v>
      </c>
      <c r="F57" s="102">
        <f>+'CPP_20-22'!F25</f>
        <v>450000</v>
      </c>
      <c r="H57" s="102">
        <f>SUM(F57:G57)</f>
        <v>450000</v>
      </c>
    </row>
    <row r="58" spans="1:8" ht="15" thickBot="1" x14ac:dyDescent="0.4">
      <c r="B58" s="101" t="s">
        <v>115</v>
      </c>
      <c r="C58" s="101"/>
      <c r="D58" s="104">
        <f>+'CPP_20-22'!D26</f>
        <v>-290000</v>
      </c>
      <c r="E58" s="104">
        <f>+'CPP_20-22'!E26</f>
        <v>-220000</v>
      </c>
      <c r="F58" s="104">
        <f>+'CPP_20-22'!F26</f>
        <v>-380000</v>
      </c>
      <c r="H58" s="104">
        <f>SUM(F58:G58)</f>
        <v>-380000</v>
      </c>
    </row>
    <row r="59" spans="1:8" ht="15" thickBot="1" x14ac:dyDescent="0.4">
      <c r="B59" s="98" t="s">
        <v>116</v>
      </c>
      <c r="C59" s="98"/>
      <c r="D59" s="105">
        <f>SUM(D55:D58)</f>
        <v>370000</v>
      </c>
      <c r="E59" s="105">
        <f>SUM(E55:E58)</f>
        <v>-1200000</v>
      </c>
      <c r="F59" s="105">
        <f>SUM(F55:F58)</f>
        <v>770000</v>
      </c>
      <c r="H59" s="105">
        <f>SUM(H55:H58)</f>
        <v>390000</v>
      </c>
    </row>
    <row r="61" spans="1:8" x14ac:dyDescent="0.35">
      <c r="B61" s="101" t="s">
        <v>26</v>
      </c>
      <c r="C61" s="101"/>
      <c r="D61" s="106">
        <f>+'CPP_20-22'!D30</f>
        <v>60000</v>
      </c>
      <c r="E61" s="106">
        <f>+'CPP_20-22'!E30</f>
        <v>0</v>
      </c>
      <c r="F61" s="106">
        <f>+'CPP_20-22'!F30</f>
        <v>400000</v>
      </c>
      <c r="H61" s="106">
        <f>SUM(D61:G61)</f>
        <v>460000</v>
      </c>
    </row>
    <row r="62" spans="1:8" x14ac:dyDescent="0.35">
      <c r="B62" s="101" t="s">
        <v>117</v>
      </c>
      <c r="C62" s="101"/>
      <c r="D62" s="102">
        <f>+'CPP_20-22'!D31</f>
        <v>-410000</v>
      </c>
      <c r="E62" s="102">
        <f>+'CPP_20-22'!E31</f>
        <v>-410000</v>
      </c>
      <c r="F62" s="102">
        <f>+'CPP_20-22'!F31</f>
        <v>-270000</v>
      </c>
      <c r="H62" s="102">
        <f>SUM(D62:G62)</f>
        <v>-1090000</v>
      </c>
    </row>
    <row r="63" spans="1:8" ht="15" thickBot="1" x14ac:dyDescent="0.4">
      <c r="B63" s="101" t="s">
        <v>29</v>
      </c>
      <c r="C63" s="101"/>
      <c r="D63" s="106">
        <f>+'CPP_20-22'!D33</f>
        <v>0</v>
      </c>
      <c r="E63" s="106">
        <f>+'CPP_20-22'!E33</f>
        <v>0</v>
      </c>
      <c r="F63" s="106">
        <f>+'CPP_20-22'!F33</f>
        <v>0</v>
      </c>
      <c r="H63" s="106">
        <f>SUM(F63:G63)</f>
        <v>0</v>
      </c>
    </row>
    <row r="64" spans="1:8" ht="15" thickBot="1" x14ac:dyDescent="0.4">
      <c r="B64" s="98" t="s">
        <v>30</v>
      </c>
      <c r="C64" s="98"/>
      <c r="D64" s="107">
        <f>+D63+D62+D61+D59+D52+D46</f>
        <v>-8100000</v>
      </c>
      <c r="E64" s="107">
        <f>+E63+E62+E61+E59+E52+E46</f>
        <v>-12050000</v>
      </c>
      <c r="F64" s="107">
        <f>+F63+F62+F61+F59+F52+F46</f>
        <v>-3230000</v>
      </c>
      <c r="H64" s="107">
        <f>+H63+H62+H61+H59+H52+H46</f>
        <v>-23140000</v>
      </c>
    </row>
    <row r="65" spans="1:8" ht="15" thickTop="1" x14ac:dyDescent="0.35">
      <c r="A65" s="84"/>
      <c r="B65" s="98"/>
      <c r="C65" s="98"/>
      <c r="D65" s="108">
        <f>+D64-'CPP_20-22'!D34</f>
        <v>0</v>
      </c>
      <c r="E65" s="108">
        <f>+E64-'CPP_20-22'!E34</f>
        <v>0</v>
      </c>
      <c r="F65" s="108">
        <f>+F64-'CPP_20-22'!F34</f>
        <v>0</v>
      </c>
      <c r="H65" s="108"/>
    </row>
    <row r="66" spans="1:8" ht="15" thickBot="1" x14ac:dyDescent="0.4">
      <c r="B66" s="96"/>
      <c r="C66" s="96"/>
      <c r="D66" s="97"/>
      <c r="E66" s="97"/>
      <c r="F66" s="97"/>
      <c r="H66" s="97"/>
    </row>
    <row r="67" spans="1:8" ht="15" thickBot="1" x14ac:dyDescent="0.4">
      <c r="B67" s="109" t="str">
        <f>+B45</f>
        <v>Alte venituri din exploatare</v>
      </c>
      <c r="C67" s="110"/>
      <c r="D67" s="111">
        <f>+$D$2</f>
        <v>2020</v>
      </c>
      <c r="E67" s="111">
        <f>+$E$2</f>
        <v>2021</v>
      </c>
      <c r="F67" s="111">
        <f>+$F$2</f>
        <v>2022</v>
      </c>
      <c r="H67" s="111" t="s">
        <v>89</v>
      </c>
    </row>
    <row r="68" spans="1:8" x14ac:dyDescent="0.35">
      <c r="B68" s="103"/>
      <c r="C68" s="103"/>
      <c r="D68" s="112"/>
      <c r="E68" s="112"/>
      <c r="F68" s="112"/>
      <c r="H68" s="112"/>
    </row>
    <row r="69" spans="1:8" x14ac:dyDescent="0.35">
      <c r="B69" s="103" t="s">
        <v>118</v>
      </c>
      <c r="C69" s="103"/>
      <c r="D69" s="102">
        <f>+'CPP_20-22'!D42</f>
        <v>10000</v>
      </c>
      <c r="E69" s="102">
        <f>+'CPP_20-22'!E42</f>
        <v>10000</v>
      </c>
      <c r="F69" s="102">
        <f>+'CPP_20-22'!F42</f>
        <v>50000</v>
      </c>
      <c r="H69" s="102">
        <f>SUM(D69:G69)</f>
        <v>70000</v>
      </c>
    </row>
    <row r="70" spans="1:8" x14ac:dyDescent="0.35">
      <c r="B70" s="103" t="s">
        <v>119</v>
      </c>
      <c r="C70" s="103"/>
      <c r="D70" s="102">
        <f>+'CPP_20-22'!D43</f>
        <v>0</v>
      </c>
      <c r="E70" s="102">
        <f>+'CPP_20-22'!E43</f>
        <v>0</v>
      </c>
      <c r="F70" s="102">
        <f>+'CPP_20-22'!F43</f>
        <v>0</v>
      </c>
      <c r="H70" s="102">
        <f>SUM(F70:G70)</f>
        <v>0</v>
      </c>
    </row>
    <row r="71" spans="1:8" x14ac:dyDescent="0.35">
      <c r="B71" s="103" t="s">
        <v>120</v>
      </c>
      <c r="C71" s="103"/>
      <c r="D71" s="102">
        <f>+'CPP_20-22'!D44</f>
        <v>0</v>
      </c>
      <c r="E71" s="102">
        <f>+'CPP_20-22'!E44</f>
        <v>0</v>
      </c>
      <c r="F71" s="102">
        <f>+'CPP_20-22'!F44</f>
        <v>0</v>
      </c>
      <c r="H71" s="102">
        <f>SUM(F71:G71)</f>
        <v>0</v>
      </c>
    </row>
    <row r="72" spans="1:8" x14ac:dyDescent="0.35">
      <c r="B72" s="103" t="s">
        <v>93</v>
      </c>
      <c r="C72" s="103"/>
      <c r="D72" s="106"/>
      <c r="E72" s="106"/>
      <c r="F72" s="106"/>
      <c r="H72" s="106">
        <f>SUM(F72:G72)</f>
        <v>0</v>
      </c>
    </row>
    <row r="73" spans="1:8" x14ac:dyDescent="0.35">
      <c r="B73" s="103" t="s">
        <v>37</v>
      </c>
      <c r="C73" s="103"/>
      <c r="D73" s="106">
        <f>+'CPP_20-22'!D50</f>
        <v>10000</v>
      </c>
      <c r="E73" s="106">
        <f>+'CPP_20-22'!E50</f>
        <v>120000</v>
      </c>
      <c r="F73" s="106">
        <f>+'CPP_20-22'!F50</f>
        <v>1000000</v>
      </c>
      <c r="H73" s="106">
        <f>SUM(D73:G73)</f>
        <v>1130000</v>
      </c>
    </row>
    <row r="74" spans="1:8" x14ac:dyDescent="0.35">
      <c r="B74" s="103" t="s">
        <v>121</v>
      </c>
      <c r="C74" s="103"/>
      <c r="D74" s="102">
        <f>+'CPP_20-22'!D47</f>
        <v>0</v>
      </c>
      <c r="E74" s="102">
        <f>+'CPP_20-22'!E47</f>
        <v>10000</v>
      </c>
      <c r="F74" s="102">
        <f>+'CPP_20-22'!F47</f>
        <v>0</v>
      </c>
      <c r="H74" s="102">
        <f>SUM(D74:G74)</f>
        <v>10000</v>
      </c>
    </row>
    <row r="75" spans="1:8" x14ac:dyDescent="0.35">
      <c r="B75" s="103" t="s">
        <v>185</v>
      </c>
      <c r="C75" s="103"/>
      <c r="D75" s="102">
        <f>+'CPP_20-22'!D48</f>
        <v>0</v>
      </c>
      <c r="E75" s="102">
        <f>+'CPP_20-22'!E48</f>
        <v>60000</v>
      </c>
      <c r="F75" s="102">
        <f>+'CPP_20-22'!F48</f>
        <v>10000</v>
      </c>
      <c r="H75" s="102">
        <f>SUM(D75:G75)</f>
        <v>70000</v>
      </c>
    </row>
    <row r="76" spans="1:8" x14ac:dyDescent="0.35">
      <c r="B76" s="103" t="s">
        <v>94</v>
      </c>
      <c r="C76" s="103"/>
      <c r="D76" s="106">
        <f>+'CPP_20-22'!D49</f>
        <v>230000</v>
      </c>
      <c r="E76" s="106">
        <f>+'CPP_20-22'!E49</f>
        <v>0</v>
      </c>
      <c r="F76" s="106">
        <f>+'CPP_20-22'!F49</f>
        <v>0</v>
      </c>
      <c r="H76" s="106">
        <f>SUM(D76:G76)</f>
        <v>230000</v>
      </c>
    </row>
    <row r="77" spans="1:8" ht="15" thickBot="1" x14ac:dyDescent="0.4">
      <c r="B77" s="103" t="s">
        <v>31</v>
      </c>
      <c r="C77" s="103"/>
      <c r="D77" s="104">
        <f>+'CPP_20-22'!D51</f>
        <v>180000</v>
      </c>
      <c r="E77" s="104">
        <f>+'CPP_20-22'!E51</f>
        <v>70000</v>
      </c>
      <c r="F77" s="104">
        <f>+'CPP_20-22'!F51</f>
        <v>190000</v>
      </c>
      <c r="H77" s="104">
        <f>SUM(D77:G77)</f>
        <v>440000</v>
      </c>
    </row>
    <row r="78" spans="1:8" ht="15" thickBot="1" x14ac:dyDescent="0.4">
      <c r="B78" s="110" t="s">
        <v>122</v>
      </c>
      <c r="C78" s="110"/>
      <c r="D78" s="107">
        <f>SUM(D68:D77)</f>
        <v>430000</v>
      </c>
      <c r="E78" s="107">
        <f>SUM(E68:E77)</f>
        <v>270000</v>
      </c>
      <c r="F78" s="107">
        <f>SUM(F68:F77)</f>
        <v>1250000</v>
      </c>
      <c r="H78" s="107">
        <f>SUM(H68:H77)</f>
        <v>1950000</v>
      </c>
    </row>
    <row r="79" spans="1:8" ht="15" thickTop="1" x14ac:dyDescent="0.35">
      <c r="A79" s="84"/>
      <c r="D79" s="113">
        <f>+D45-D78</f>
        <v>0</v>
      </c>
      <c r="E79" s="113">
        <f>+E45-E78</f>
        <v>0</v>
      </c>
      <c r="F79" s="113">
        <f>+F45-F78</f>
        <v>0</v>
      </c>
      <c r="H79" s="113">
        <f>+H45-H78</f>
        <v>0</v>
      </c>
    </row>
    <row r="80" spans="1:8" ht="15" thickBot="1" x14ac:dyDescent="0.4">
      <c r="D80" s="114"/>
      <c r="E80" s="114"/>
      <c r="F80" s="114"/>
      <c r="H80" s="114"/>
    </row>
    <row r="81" spans="1:10" ht="15" thickBot="1" x14ac:dyDescent="0.4">
      <c r="B81" s="109" t="str">
        <f>+B49</f>
        <v>Cheltuieli privind beneficiile pentru angajaţi</v>
      </c>
      <c r="C81" s="110"/>
      <c r="D81" s="111">
        <f>+$D$2</f>
        <v>2020</v>
      </c>
      <c r="E81" s="111">
        <f>+$E$2</f>
        <v>2021</v>
      </c>
      <c r="F81" s="111">
        <f>+$F$2</f>
        <v>2022</v>
      </c>
      <c r="H81" s="111" t="s">
        <v>89</v>
      </c>
    </row>
    <row r="82" spans="1:10" x14ac:dyDescent="0.35">
      <c r="B82" s="115" t="s">
        <v>187</v>
      </c>
      <c r="C82" s="115"/>
      <c r="D82" s="102">
        <f>-'CPP_20-22'!D63-D83</f>
        <v>16550000</v>
      </c>
      <c r="E82" s="102">
        <f>-'CPP_20-22'!E63-E83</f>
        <v>15100000</v>
      </c>
      <c r="F82" s="102">
        <f>-'CPP_20-22'!F63-F83</f>
        <v>11830000</v>
      </c>
      <c r="H82" s="102">
        <f>SUM(D82:G82)</f>
        <v>43480000</v>
      </c>
    </row>
    <row r="83" spans="1:10" x14ac:dyDescent="0.35">
      <c r="B83" s="115" t="s">
        <v>123</v>
      </c>
      <c r="C83" s="115"/>
      <c r="D83" s="106">
        <v>1300000</v>
      </c>
      <c r="E83" s="106">
        <v>900000</v>
      </c>
      <c r="F83" s="106">
        <v>1150000</v>
      </c>
      <c r="H83" s="106">
        <f>SUM(D83:G83)</f>
        <v>3350000</v>
      </c>
    </row>
    <row r="84" spans="1:10" x14ac:dyDescent="0.35">
      <c r="B84" s="115" t="s">
        <v>186</v>
      </c>
      <c r="C84" s="115"/>
      <c r="D84" s="106">
        <f>-'CPP_20-22'!D67</f>
        <v>1476000</v>
      </c>
      <c r="E84" s="106">
        <f>-'CPP_20-22'!E67</f>
        <v>1630000</v>
      </c>
      <c r="F84" s="106">
        <f>-'CPP_20-22'!F67</f>
        <v>960000</v>
      </c>
      <c r="H84" s="106">
        <f>SUM(D84:G84)</f>
        <v>4066000</v>
      </c>
    </row>
    <row r="85" spans="1:10" x14ac:dyDescent="0.35">
      <c r="B85" s="115" t="s">
        <v>124</v>
      </c>
      <c r="C85" s="115"/>
      <c r="D85" s="106">
        <v>700000</v>
      </c>
      <c r="E85" s="106">
        <v>700000</v>
      </c>
      <c r="F85" s="106">
        <v>700000</v>
      </c>
      <c r="H85" s="106">
        <f>SUM(D85:G85)</f>
        <v>2100000</v>
      </c>
    </row>
    <row r="86" spans="1:10" x14ac:dyDescent="0.35">
      <c r="B86" s="115" t="s">
        <v>125</v>
      </c>
      <c r="C86" s="115"/>
      <c r="D86" s="106">
        <v>50000</v>
      </c>
      <c r="E86" s="106">
        <v>50000</v>
      </c>
      <c r="F86" s="106">
        <v>50000</v>
      </c>
      <c r="H86" s="106">
        <f>SUM(D86:G86)</f>
        <v>150000</v>
      </c>
    </row>
    <row r="87" spans="1:10" x14ac:dyDescent="0.35">
      <c r="B87" s="115" t="s">
        <v>126</v>
      </c>
      <c r="C87" s="115"/>
      <c r="D87" s="106"/>
      <c r="E87" s="106"/>
      <c r="F87" s="106"/>
      <c r="H87" s="106">
        <f>SUM(F87:G87)</f>
        <v>0</v>
      </c>
    </row>
    <row r="88" spans="1:10" x14ac:dyDescent="0.35">
      <c r="B88" s="115" t="s">
        <v>127</v>
      </c>
      <c r="C88" s="115"/>
      <c r="D88" s="102">
        <f>-'CPP_20-22'!D78-'CPP_20-22'!D72-D85-D86</f>
        <v>5214000</v>
      </c>
      <c r="E88" s="102">
        <f>-'CPP_20-22'!E78-'CPP_20-22'!E72-E85-E86</f>
        <v>5120000</v>
      </c>
      <c r="F88" s="102">
        <f>-'CPP_20-22'!F78-'CPP_20-22'!F72-F85-F86</f>
        <v>4810000</v>
      </c>
      <c r="H88" s="102">
        <f>SUM(D88:G88)</f>
        <v>15144000</v>
      </c>
    </row>
    <row r="89" spans="1:10" ht="15" thickBot="1" x14ac:dyDescent="0.4">
      <c r="B89" s="115"/>
      <c r="C89" s="115"/>
      <c r="D89" s="104"/>
      <c r="E89" s="104"/>
      <c r="F89" s="104"/>
      <c r="H89" s="104"/>
    </row>
    <row r="90" spans="1:10" ht="15" thickBot="1" x14ac:dyDescent="0.4">
      <c r="B90" s="110" t="s">
        <v>122</v>
      </c>
      <c r="C90" s="110"/>
      <c r="D90" s="107">
        <f>SUM(D82:D89)</f>
        <v>25290000</v>
      </c>
      <c r="E90" s="107">
        <f>SUM(E82:E89)</f>
        <v>23500000</v>
      </c>
      <c r="F90" s="107">
        <f>SUM(F82:F89)</f>
        <v>19500000</v>
      </c>
      <c r="H90" s="107">
        <f>SUM(H82:H89)</f>
        <v>68290000</v>
      </c>
    </row>
    <row r="91" spans="1:10" ht="15" thickTop="1" x14ac:dyDescent="0.35">
      <c r="D91" s="113">
        <f>+D90+D49</f>
        <v>0</v>
      </c>
      <c r="E91" s="113">
        <f>+E90+E49</f>
        <v>0</v>
      </c>
      <c r="F91" s="113">
        <f>+F90+F49</f>
        <v>0</v>
      </c>
      <c r="H91" s="113">
        <f>+H90+H49</f>
        <v>0</v>
      </c>
    </row>
    <row r="92" spans="1:10" x14ac:dyDescent="0.35">
      <c r="A92" s="84"/>
      <c r="D92" s="114"/>
      <c r="E92" s="114"/>
      <c r="F92" s="114"/>
      <c r="H92" s="114"/>
    </row>
    <row r="93" spans="1:10" ht="15" thickBot="1" x14ac:dyDescent="0.4">
      <c r="A93" s="84"/>
      <c r="D93" s="114"/>
      <c r="E93" s="114"/>
      <c r="F93" s="114"/>
      <c r="H93" s="114"/>
    </row>
    <row r="94" spans="1:10" ht="15" thickBot="1" x14ac:dyDescent="0.4">
      <c r="B94" s="109" t="str">
        <f>+B51</f>
        <v>Alte cheltuieli de exploatare (inclusiv costuri materiale)</v>
      </c>
      <c r="C94" s="110"/>
      <c r="D94" s="111">
        <f>+$D$2</f>
        <v>2020</v>
      </c>
      <c r="E94" s="111">
        <f>+$E$2</f>
        <v>2021</v>
      </c>
      <c r="F94" s="111">
        <f>+$F$2</f>
        <v>2022</v>
      </c>
      <c r="H94" s="111" t="s">
        <v>89</v>
      </c>
      <c r="J94" s="116"/>
    </row>
    <row r="95" spans="1:10" ht="29" x14ac:dyDescent="0.35">
      <c r="B95" s="101" t="s">
        <v>13</v>
      </c>
      <c r="C95" s="101"/>
      <c r="D95" s="102">
        <f>-'CPP_20-22'!D15</f>
        <v>810000</v>
      </c>
      <c r="E95" s="102">
        <f>-'CPP_20-22'!E15</f>
        <v>1060000</v>
      </c>
      <c r="F95" s="102">
        <f>-'CPP_20-22'!F15</f>
        <v>1060000</v>
      </c>
      <c r="H95" s="102">
        <f t="shared" ref="H95:H110" si="2">SUM(D95:G95)</f>
        <v>2930000</v>
      </c>
      <c r="J95" s="116"/>
    </row>
    <row r="96" spans="1:10" x14ac:dyDescent="0.35">
      <c r="B96" s="103" t="s">
        <v>128</v>
      </c>
      <c r="C96" s="103"/>
      <c r="D96" s="102">
        <f>-'CPP_20-22'!D87</f>
        <v>2570000</v>
      </c>
      <c r="E96" s="102">
        <f>-'CPP_20-22'!E87</f>
        <v>3750000</v>
      </c>
      <c r="F96" s="102">
        <f>-'CPP_20-22'!F87</f>
        <v>3940000</v>
      </c>
      <c r="H96" s="102">
        <f t="shared" si="2"/>
        <v>10260000</v>
      </c>
      <c r="J96" s="116"/>
    </row>
    <row r="97" spans="2:10" x14ac:dyDescent="0.35">
      <c r="B97" s="103" t="s">
        <v>129</v>
      </c>
      <c r="C97" s="103"/>
      <c r="D97" s="102">
        <f>-'CPP_20-22'!D88</f>
        <v>0</v>
      </c>
      <c r="E97" s="102">
        <f>-'CPP_20-22'!E88</f>
        <v>0</v>
      </c>
      <c r="F97" s="102">
        <f>-'CPP_20-22'!F88</f>
        <v>0</v>
      </c>
      <c r="H97" s="102">
        <f t="shared" si="2"/>
        <v>0</v>
      </c>
      <c r="J97" s="116"/>
    </row>
    <row r="98" spans="2:10" ht="29" x14ac:dyDescent="0.35">
      <c r="B98" s="103" t="s">
        <v>130</v>
      </c>
      <c r="C98" s="103"/>
      <c r="D98" s="102">
        <f>-'CPP_20-22'!D89</f>
        <v>1210000</v>
      </c>
      <c r="E98" s="102">
        <f>-'CPP_20-22'!E89</f>
        <v>1190000</v>
      </c>
      <c r="F98" s="102">
        <f>-'CPP_20-22'!F89</f>
        <v>990000</v>
      </c>
      <c r="H98" s="102">
        <f t="shared" si="2"/>
        <v>3390000</v>
      </c>
      <c r="J98" s="116"/>
    </row>
    <row r="99" spans="2:10" ht="29" x14ac:dyDescent="0.35">
      <c r="B99" s="103" t="s">
        <v>66</v>
      </c>
      <c r="C99" s="103"/>
      <c r="D99" s="102"/>
      <c r="E99" s="102"/>
      <c r="F99" s="102"/>
      <c r="H99" s="102">
        <f t="shared" si="2"/>
        <v>0</v>
      </c>
      <c r="J99" s="116"/>
    </row>
    <row r="100" spans="2:10" ht="29" x14ac:dyDescent="0.35">
      <c r="B100" s="103" t="s">
        <v>131</v>
      </c>
      <c r="C100" s="103"/>
      <c r="D100" s="102">
        <f>-'CPP_20-22'!D91</f>
        <v>170000</v>
      </c>
      <c r="E100" s="102">
        <f>-'CPP_20-22'!E91</f>
        <v>0</v>
      </c>
      <c r="F100" s="102">
        <f>-'CPP_20-22'!F91</f>
        <v>0</v>
      </c>
      <c r="H100" s="102">
        <f t="shared" si="2"/>
        <v>170000</v>
      </c>
      <c r="J100" s="116"/>
    </row>
    <row r="101" spans="2:10" x14ac:dyDescent="0.35">
      <c r="B101" s="103" t="s">
        <v>132</v>
      </c>
      <c r="C101" s="103"/>
      <c r="D101" s="102">
        <f>-'CPP_20-22'!D92</f>
        <v>0</v>
      </c>
      <c r="E101" s="102">
        <f>-'CPP_20-22'!E92</f>
        <v>60000</v>
      </c>
      <c r="F101" s="102">
        <f>-'CPP_20-22'!F92</f>
        <v>340000</v>
      </c>
      <c r="H101" s="102">
        <f t="shared" si="2"/>
        <v>400000</v>
      </c>
      <c r="J101" s="116"/>
    </row>
    <row r="102" spans="2:10" x14ac:dyDescent="0.35">
      <c r="B102" s="103" t="s">
        <v>133</v>
      </c>
      <c r="C102" s="103"/>
      <c r="D102" s="102">
        <f>-'CPP_20-22'!D93</f>
        <v>570000</v>
      </c>
      <c r="E102" s="102">
        <f>-'CPP_20-22'!E93</f>
        <v>610000</v>
      </c>
      <c r="F102" s="102">
        <f>-'CPP_20-22'!F93</f>
        <v>1370000</v>
      </c>
      <c r="H102" s="102">
        <f t="shared" si="2"/>
        <v>2550000</v>
      </c>
      <c r="J102" s="116"/>
    </row>
    <row r="103" spans="2:10" x14ac:dyDescent="0.35">
      <c r="B103" s="103" t="s">
        <v>100</v>
      </c>
      <c r="C103" s="103"/>
      <c r="D103" s="106"/>
      <c r="E103" s="106"/>
      <c r="F103" s="106"/>
      <c r="H103" s="106">
        <f t="shared" si="2"/>
        <v>0</v>
      </c>
      <c r="J103" s="116"/>
    </row>
    <row r="104" spans="2:10" ht="29.5" customHeight="1" x14ac:dyDescent="0.35">
      <c r="B104" s="103" t="s">
        <v>71</v>
      </c>
      <c r="C104" s="103"/>
      <c r="D104" s="106">
        <f>-'CPP_20-22'!D95</f>
        <v>220000</v>
      </c>
      <c r="E104" s="106">
        <f>-'CPP_20-22'!E95</f>
        <v>390000</v>
      </c>
      <c r="F104" s="106">
        <f>-'CPP_20-22'!F95</f>
        <v>450000</v>
      </c>
      <c r="H104" s="106">
        <f t="shared" si="2"/>
        <v>1060000</v>
      </c>
      <c r="J104" s="116"/>
    </row>
    <row r="105" spans="2:10" x14ac:dyDescent="0.35">
      <c r="B105" s="103" t="s">
        <v>101</v>
      </c>
      <c r="C105" s="103"/>
      <c r="D105" s="106"/>
      <c r="E105" s="106"/>
      <c r="F105" s="106"/>
      <c r="H105" s="106">
        <f t="shared" si="2"/>
        <v>0</v>
      </c>
      <c r="J105" s="116"/>
    </row>
    <row r="106" spans="2:10" x14ac:dyDescent="0.35">
      <c r="B106" s="103" t="s">
        <v>73</v>
      </c>
      <c r="C106" s="103"/>
      <c r="D106" s="106">
        <f>-'CPP_20-22'!D97</f>
        <v>0</v>
      </c>
      <c r="E106" s="106">
        <f>-'CPP_20-22'!E97</f>
        <v>10000</v>
      </c>
      <c r="F106" s="106">
        <f>-'CPP_20-22'!F97</f>
        <v>20000</v>
      </c>
      <c r="H106" s="106">
        <f t="shared" si="2"/>
        <v>30000</v>
      </c>
      <c r="J106" s="116"/>
    </row>
    <row r="107" spans="2:10" x14ac:dyDescent="0.35">
      <c r="B107" s="103" t="s">
        <v>74</v>
      </c>
      <c r="C107" s="103"/>
      <c r="D107" s="117"/>
      <c r="E107" s="117"/>
      <c r="F107" s="117"/>
      <c r="H107" s="117">
        <f t="shared" si="2"/>
        <v>0</v>
      </c>
      <c r="J107" s="116"/>
    </row>
    <row r="108" spans="2:10" x14ac:dyDescent="0.35">
      <c r="B108" s="103" t="s">
        <v>75</v>
      </c>
      <c r="C108" s="103"/>
      <c r="D108" s="106"/>
      <c r="E108" s="106"/>
      <c r="F108" s="106"/>
      <c r="H108" s="106">
        <f t="shared" si="2"/>
        <v>0</v>
      </c>
    </row>
    <row r="109" spans="2:10" x14ac:dyDescent="0.35">
      <c r="B109" s="103" t="s">
        <v>39</v>
      </c>
      <c r="C109" s="103"/>
      <c r="D109" s="102"/>
      <c r="E109" s="102"/>
      <c r="F109" s="102"/>
      <c r="G109" s="118"/>
      <c r="H109" s="102">
        <f t="shared" si="2"/>
        <v>0</v>
      </c>
    </row>
    <row r="110" spans="2:10" ht="15" thickBot="1" x14ac:dyDescent="0.4">
      <c r="B110" s="103" t="s">
        <v>31</v>
      </c>
      <c r="C110" s="103"/>
      <c r="D110" s="104">
        <f>-'CPP_20-22'!D101</f>
        <v>2140000</v>
      </c>
      <c r="E110" s="104">
        <f>-'CPP_20-22'!E101</f>
        <v>2760000</v>
      </c>
      <c r="F110" s="104">
        <f>-'CPP_20-22'!F101</f>
        <v>3740000</v>
      </c>
      <c r="H110" s="104">
        <f t="shared" si="2"/>
        <v>8640000</v>
      </c>
    </row>
    <row r="111" spans="2:10" ht="15" thickBot="1" x14ac:dyDescent="0.4">
      <c r="B111" s="110" t="s">
        <v>122</v>
      </c>
      <c r="C111" s="110"/>
      <c r="D111" s="107">
        <f>SUM(D95:D110)</f>
        <v>7690000</v>
      </c>
      <c r="E111" s="107">
        <f>SUM(E95:E110)</f>
        <v>9830000</v>
      </c>
      <c r="F111" s="107">
        <f>SUM(F95:F110)</f>
        <v>11910000</v>
      </c>
      <c r="H111" s="107">
        <f>SUM(H95:H110)</f>
        <v>29430000</v>
      </c>
    </row>
    <row r="112" spans="2:10" ht="15" thickTop="1" x14ac:dyDescent="0.35">
      <c r="D112" s="113">
        <f>+D51+D111</f>
        <v>0</v>
      </c>
      <c r="E112" s="113">
        <f>+E51+E111</f>
        <v>0</v>
      </c>
      <c r="F112" s="113">
        <f>+F51+F111</f>
        <v>0</v>
      </c>
      <c r="H112" s="113">
        <f>+H51+H111</f>
        <v>0</v>
      </c>
    </row>
    <row r="113" spans="2:8" ht="15" thickBot="1" x14ac:dyDescent="0.4">
      <c r="D113" s="80"/>
      <c r="E113" s="80"/>
      <c r="F113" s="80"/>
      <c r="H113" s="80"/>
    </row>
    <row r="114" spans="2:8" ht="15" thickBot="1" x14ac:dyDescent="0.4">
      <c r="B114" s="109" t="s">
        <v>112</v>
      </c>
      <c r="C114" s="110"/>
      <c r="D114" s="111">
        <f>+$D$2</f>
        <v>2020</v>
      </c>
      <c r="E114" s="111">
        <f>+$E$2</f>
        <v>2021</v>
      </c>
      <c r="F114" s="111">
        <f>+$F$2</f>
        <v>2022</v>
      </c>
      <c r="H114" s="111" t="s">
        <v>89</v>
      </c>
    </row>
    <row r="115" spans="2:8" x14ac:dyDescent="0.35">
      <c r="B115" s="103"/>
      <c r="C115" s="103"/>
      <c r="D115" s="102"/>
      <c r="E115" s="102"/>
      <c r="F115" s="102"/>
      <c r="H115" s="102"/>
    </row>
    <row r="116" spans="2:8" x14ac:dyDescent="0.35">
      <c r="B116" s="119" t="s">
        <v>77</v>
      </c>
      <c r="C116" s="119"/>
      <c r="D116" s="102">
        <f>+'CPP_20-22'!D108</f>
        <v>3690000</v>
      </c>
      <c r="E116" s="102">
        <f>+'CPP_20-22'!E108</f>
        <v>940000</v>
      </c>
      <c r="F116" s="102">
        <f>+'CPP_20-22'!F108</f>
        <v>3340000</v>
      </c>
      <c r="H116" s="102">
        <f>SUM(D116:G116)</f>
        <v>7970000</v>
      </c>
    </row>
    <row r="117" spans="2:8" x14ac:dyDescent="0.35">
      <c r="B117" s="119" t="s">
        <v>78</v>
      </c>
      <c r="C117" s="119"/>
      <c r="D117" s="102">
        <f>+'CPP_20-22'!D109</f>
        <v>-380000</v>
      </c>
      <c r="E117" s="102">
        <f>+'CPP_20-22'!E109</f>
        <v>0</v>
      </c>
      <c r="F117" s="102">
        <f>+'CPP_20-22'!F109</f>
        <v>0</v>
      </c>
      <c r="H117" s="102">
        <f>SUM(D117:G117)</f>
        <v>-380000</v>
      </c>
    </row>
    <row r="118" spans="2:8" x14ac:dyDescent="0.35">
      <c r="B118" s="119" t="s">
        <v>79</v>
      </c>
      <c r="C118" s="119"/>
      <c r="D118" s="102">
        <f>+'CPP_20-22'!D110</f>
        <v>-160000</v>
      </c>
      <c r="E118" s="102">
        <f>+'CPP_20-22'!E110</f>
        <v>0</v>
      </c>
      <c r="F118" s="102">
        <f>+'CPP_20-22'!F110</f>
        <v>0</v>
      </c>
      <c r="H118" s="102">
        <f>SUM(D118:G118)</f>
        <v>-160000</v>
      </c>
    </row>
    <row r="119" spans="2:8" ht="15" thickBot="1" x14ac:dyDescent="0.4">
      <c r="B119" s="119" t="s">
        <v>80</v>
      </c>
      <c r="C119" s="119"/>
      <c r="D119" s="120">
        <f>+'CPP_20-22'!D111</f>
        <v>-1020000</v>
      </c>
      <c r="E119" s="120">
        <f>+'CPP_20-22'!E111</f>
        <v>-600000</v>
      </c>
      <c r="F119" s="120">
        <f>+'CPP_20-22'!F111</f>
        <v>-1840000</v>
      </c>
      <c r="H119" s="120">
        <f>SUM(D119:G119)</f>
        <v>-3460000</v>
      </c>
    </row>
    <row r="120" spans="2:8" ht="15" thickBot="1" x14ac:dyDescent="0.4">
      <c r="B120" s="110" t="s">
        <v>81</v>
      </c>
      <c r="C120" s="110"/>
      <c r="D120" s="107">
        <f>SUM(D116:D119)</f>
        <v>2130000</v>
      </c>
      <c r="E120" s="107">
        <f>SUM(E116:E119)</f>
        <v>340000</v>
      </c>
      <c r="F120" s="107">
        <f>SUM(F116:F119)</f>
        <v>1500000</v>
      </c>
      <c r="H120" s="107">
        <f>SUM(H116:H119)</f>
        <v>3970000</v>
      </c>
    </row>
    <row r="121" spans="2:8" ht="15" thickTop="1" x14ac:dyDescent="0.35">
      <c r="B121" s="103"/>
      <c r="C121" s="103"/>
      <c r="D121" s="113">
        <f>+D55-D120</f>
        <v>0</v>
      </c>
      <c r="E121" s="113">
        <f>+E55-E120</f>
        <v>0</v>
      </c>
      <c r="F121" s="113">
        <f>+F55-F120</f>
        <v>0</v>
      </c>
      <c r="H121" s="113">
        <f>+H55-H120</f>
        <v>0</v>
      </c>
    </row>
    <row r="122" spans="2:8" ht="15" thickBot="1" x14ac:dyDescent="0.4">
      <c r="B122" s="103"/>
      <c r="C122" s="103"/>
      <c r="D122" s="102"/>
      <c r="E122" s="102"/>
      <c r="F122" s="102"/>
      <c r="H122" s="102"/>
    </row>
    <row r="123" spans="2:8" ht="15" thickBot="1" x14ac:dyDescent="0.4">
      <c r="B123" s="109" t="s">
        <v>134</v>
      </c>
      <c r="C123" s="110"/>
      <c r="D123" s="111">
        <f>+$D$2</f>
        <v>2020</v>
      </c>
      <c r="E123" s="111">
        <f>+$E$2</f>
        <v>2021</v>
      </c>
      <c r="F123" s="111">
        <f>+$F$2</f>
        <v>2022</v>
      </c>
      <c r="H123" s="111" t="s">
        <v>89</v>
      </c>
    </row>
    <row r="124" spans="2:8" x14ac:dyDescent="0.35">
      <c r="B124" s="103"/>
      <c r="C124" s="103"/>
      <c r="D124" s="102"/>
      <c r="E124" s="102"/>
      <c r="F124" s="102"/>
      <c r="H124" s="102"/>
    </row>
    <row r="125" spans="2:8" x14ac:dyDescent="0.35">
      <c r="B125" s="103" t="s">
        <v>135</v>
      </c>
      <c r="C125" s="103"/>
      <c r="D125" s="102">
        <f>+'CPP_20-22'!D119</f>
        <v>0</v>
      </c>
      <c r="E125" s="102">
        <f>+'CPP_20-22'!E119</f>
        <v>0</v>
      </c>
      <c r="F125" s="102">
        <f>+'CPP_20-22'!F119</f>
        <v>0</v>
      </c>
      <c r="H125" s="102">
        <f t="shared" ref="H125:H131" si="3">SUM(D125:G125)</f>
        <v>0</v>
      </c>
    </row>
    <row r="126" spans="2:8" x14ac:dyDescent="0.35">
      <c r="B126" s="103" t="s">
        <v>136</v>
      </c>
      <c r="C126" s="103"/>
      <c r="D126" s="102">
        <f>+'CPP_20-22'!D120</f>
        <v>-90000</v>
      </c>
      <c r="E126" s="102">
        <f>+'CPP_20-22'!E120</f>
        <v>-160000</v>
      </c>
      <c r="F126" s="102">
        <f>+'CPP_20-22'!F120</f>
        <v>-220000</v>
      </c>
      <c r="H126" s="102">
        <f t="shared" si="3"/>
        <v>-470000</v>
      </c>
    </row>
    <row r="127" spans="2:8" x14ac:dyDescent="0.35">
      <c r="B127" s="103" t="s">
        <v>137</v>
      </c>
      <c r="C127" s="103"/>
      <c r="D127" s="102">
        <f>+'CPP_20-22'!D121</f>
        <v>110000</v>
      </c>
      <c r="E127" s="102">
        <f>+'CPP_20-22'!E121</f>
        <v>120000</v>
      </c>
      <c r="F127" s="102">
        <f>+'CPP_20-22'!F121</f>
        <v>870000</v>
      </c>
      <c r="H127" s="102">
        <f t="shared" si="3"/>
        <v>1100000</v>
      </c>
    </row>
    <row r="128" spans="2:8" x14ac:dyDescent="0.35">
      <c r="B128" s="103" t="s">
        <v>138</v>
      </c>
      <c r="C128" s="103"/>
      <c r="D128" s="102">
        <f>+'CPP_20-22'!D122</f>
        <v>-380000</v>
      </c>
      <c r="E128" s="102">
        <f>+'CPP_20-22'!E122</f>
        <v>-310000</v>
      </c>
      <c r="F128" s="102">
        <f>+'CPP_20-22'!F122</f>
        <v>-900000</v>
      </c>
      <c r="H128" s="102">
        <f t="shared" si="3"/>
        <v>-1590000</v>
      </c>
    </row>
    <row r="129" spans="2:8" x14ac:dyDescent="0.35">
      <c r="B129" s="103" t="s">
        <v>139</v>
      </c>
      <c r="C129" s="103"/>
      <c r="D129" s="102">
        <f>+'CPP_20-22'!D123</f>
        <v>0</v>
      </c>
      <c r="E129" s="102">
        <f>+'CPP_20-22'!E123</f>
        <v>0</v>
      </c>
      <c r="F129" s="102">
        <f>+'CPP_20-22'!F123</f>
        <v>10000</v>
      </c>
      <c r="H129" s="102">
        <f t="shared" si="3"/>
        <v>10000</v>
      </c>
    </row>
    <row r="130" spans="2:8" ht="15" thickBot="1" x14ac:dyDescent="0.4">
      <c r="B130" s="103" t="s">
        <v>140</v>
      </c>
      <c r="C130" s="103"/>
      <c r="D130" s="104">
        <f>+'CPP_20-22'!D124</f>
        <v>-50000</v>
      </c>
      <c r="E130" s="104">
        <f>+'CPP_20-22'!E124</f>
        <v>-60000</v>
      </c>
      <c r="F130" s="104">
        <f>+'CPP_20-22'!F124</f>
        <v>-30000</v>
      </c>
      <c r="H130" s="104">
        <f t="shared" si="3"/>
        <v>-140000</v>
      </c>
    </row>
    <row r="131" spans="2:8" ht="15" thickBot="1" x14ac:dyDescent="0.4">
      <c r="B131" s="103"/>
      <c r="C131" s="103"/>
      <c r="D131" s="104"/>
      <c r="E131" s="104"/>
      <c r="F131" s="104"/>
      <c r="H131" s="104">
        <f t="shared" si="3"/>
        <v>0</v>
      </c>
    </row>
    <row r="132" spans="2:8" ht="15" thickBot="1" x14ac:dyDescent="0.4">
      <c r="B132" s="110" t="s">
        <v>141</v>
      </c>
      <c r="C132" s="110"/>
      <c r="D132" s="107">
        <f>SUM(D125:D131)</f>
        <v>-410000</v>
      </c>
      <c r="E132" s="107">
        <f>SUM(E125:E131)</f>
        <v>-410000</v>
      </c>
      <c r="F132" s="107">
        <f>SUM(F125:F131)</f>
        <v>-270000</v>
      </c>
      <c r="H132" s="107">
        <f>SUM(H125:H131)</f>
        <v>-1090000</v>
      </c>
    </row>
    <row r="133" spans="2:8" ht="15" thickTop="1" x14ac:dyDescent="0.35">
      <c r="D133" s="113">
        <f>+D62-D132</f>
        <v>0</v>
      </c>
      <c r="E133" s="113">
        <f>+E62-E132</f>
        <v>0</v>
      </c>
      <c r="F133" s="113">
        <f>+F62-F132</f>
        <v>0</v>
      </c>
      <c r="H133" s="113">
        <f>+H62-H132</f>
        <v>0</v>
      </c>
    </row>
    <row r="134" spans="2:8" x14ac:dyDescent="0.35">
      <c r="B134" s="75" t="s">
        <v>104</v>
      </c>
      <c r="C134" s="75"/>
      <c r="D134" s="75"/>
      <c r="E134" s="75"/>
      <c r="F134" s="75"/>
      <c r="G134" s="75"/>
      <c r="H134" s="75"/>
    </row>
    <row r="135" spans="2:8" x14ac:dyDescent="0.35">
      <c r="B135" s="179" t="s">
        <v>105</v>
      </c>
      <c r="C135" s="179"/>
      <c r="D135" s="179"/>
      <c r="E135" s="179"/>
      <c r="F135" s="179"/>
      <c r="G135" s="75"/>
      <c r="H135" s="75"/>
    </row>
    <row r="136" spans="2:8" x14ac:dyDescent="0.35">
      <c r="G136" s="75"/>
    </row>
    <row r="137" spans="2:8" x14ac:dyDescent="0.35">
      <c r="G137" s="75"/>
    </row>
    <row r="138" spans="2:8" x14ac:dyDescent="0.35">
      <c r="G138" s="75"/>
    </row>
    <row r="139" spans="2:8" x14ac:dyDescent="0.35">
      <c r="G139" s="75"/>
    </row>
  </sheetData>
  <autoFilter ref="B3:H135" xr:uid="{78BB2B58-78CF-4581-9713-3309BAD24A0C}"/>
  <mergeCells count="2">
    <mergeCell ref="B34:F34"/>
    <mergeCell ref="B135:F13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3" manualBreakCount="3">
    <brk id="35" min="1" max="7" man="1"/>
    <brk id="66" min="1" max="7" man="1"/>
    <brk id="91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E2CF2-6A8A-46F2-9A11-62667BEA2E59}">
  <sheetPr>
    <tabColor rgb="FFC00000"/>
  </sheetPr>
  <dimension ref="B1:D34"/>
  <sheetViews>
    <sheetView workbookViewId="0">
      <selection activeCell="B18" sqref="B18"/>
    </sheetView>
  </sheetViews>
  <sheetFormatPr defaultColWidth="9.1796875" defaultRowHeight="14.5" x14ac:dyDescent="0.35"/>
  <cols>
    <col min="2" max="2" width="58.1796875" bestFit="1" customWidth="1"/>
    <col min="3" max="3" width="12.26953125" bestFit="1" customWidth="1"/>
    <col min="4" max="4" width="11.1796875" bestFit="1" customWidth="1"/>
  </cols>
  <sheetData>
    <row r="1" spans="2:4" ht="15" thickBot="1" x14ac:dyDescent="0.4"/>
    <row r="2" spans="2:4" x14ac:dyDescent="0.35">
      <c r="B2" s="70" t="s">
        <v>188</v>
      </c>
      <c r="C2" s="71" t="s">
        <v>192</v>
      </c>
      <c r="D2" s="72" t="s">
        <v>189</v>
      </c>
    </row>
    <row r="3" spans="2:4" x14ac:dyDescent="0.35">
      <c r="B3" s="55"/>
      <c r="C3" s="56"/>
      <c r="D3" s="57"/>
    </row>
    <row r="4" spans="2:4" x14ac:dyDescent="0.35">
      <c r="B4" s="58" t="s">
        <v>203</v>
      </c>
      <c r="C4" s="59">
        <f>'BS_20-22'!F50</f>
        <v>-9030000</v>
      </c>
      <c r="D4" s="73" t="str">
        <f>IF(C4&gt;0,"DA","NU")</f>
        <v>NU</v>
      </c>
    </row>
    <row r="5" spans="2:4" x14ac:dyDescent="0.35">
      <c r="B5" s="55"/>
      <c r="C5" s="56"/>
      <c r="D5" s="57"/>
    </row>
    <row r="6" spans="2:4" x14ac:dyDescent="0.35">
      <c r="B6" s="58" t="s">
        <v>204</v>
      </c>
      <c r="C6" s="60"/>
      <c r="D6" s="57"/>
    </row>
    <row r="7" spans="2:4" x14ac:dyDescent="0.35">
      <c r="B7" s="55" t="s">
        <v>190</v>
      </c>
      <c r="C7" s="61">
        <f>+'BS_20-22'!F10</f>
        <v>6280000</v>
      </c>
      <c r="D7" s="57"/>
    </row>
    <row r="8" spans="2:4" x14ac:dyDescent="0.35">
      <c r="B8" s="55" t="s">
        <v>191</v>
      </c>
      <c r="C8" s="61">
        <f>+'BS_20-22'!F9</f>
        <v>200000</v>
      </c>
      <c r="D8" s="57"/>
    </row>
    <row r="9" spans="2:4" ht="16" x14ac:dyDescent="0.5">
      <c r="B9" s="55" t="s">
        <v>193</v>
      </c>
      <c r="C9" s="69">
        <f>+'BS_20-22'!F31</f>
        <v>24960000</v>
      </c>
      <c r="D9" s="57"/>
    </row>
    <row r="10" spans="2:4" x14ac:dyDescent="0.35">
      <c r="B10" s="58" t="s">
        <v>211</v>
      </c>
      <c r="C10" s="62">
        <f>+(C7-C8)/C9</f>
        <v>0.24358974358974358</v>
      </c>
      <c r="D10" s="73" t="str">
        <f>IF(C10&gt;1,"DA","NU")</f>
        <v>NU</v>
      </c>
    </row>
    <row r="11" spans="2:4" x14ac:dyDescent="0.35">
      <c r="B11" s="55"/>
      <c r="C11" s="56"/>
      <c r="D11" s="57"/>
    </row>
    <row r="12" spans="2:4" x14ac:dyDescent="0.35">
      <c r="B12" s="58" t="s">
        <v>205</v>
      </c>
      <c r="C12" s="56"/>
      <c r="D12" s="57"/>
    </row>
    <row r="13" spans="2:4" x14ac:dyDescent="0.35">
      <c r="B13" s="55" t="s">
        <v>194</v>
      </c>
      <c r="C13" s="63">
        <f>AVERAGE('Venituri nete_20-22'!E11:F11)</f>
        <v>25930000</v>
      </c>
      <c r="D13" s="57"/>
    </row>
    <row r="14" spans="2:4" x14ac:dyDescent="0.35">
      <c r="B14" s="55" t="s">
        <v>195</v>
      </c>
      <c r="C14" s="64">
        <f>-AVERAGE('Venituri nete_20-22'!D20:F20)</f>
        <v>-33306666.666666668</v>
      </c>
      <c r="D14" s="57"/>
    </row>
    <row r="15" spans="2:4" x14ac:dyDescent="0.35">
      <c r="B15" s="58" t="s">
        <v>201</v>
      </c>
      <c r="C15" s="65">
        <f>SUM(C13:C14)</f>
        <v>-7376666.6666666679</v>
      </c>
      <c r="D15" s="57"/>
    </row>
    <row r="16" spans="2:4" x14ac:dyDescent="0.35">
      <c r="B16" s="58" t="s">
        <v>196</v>
      </c>
      <c r="C16" s="56"/>
      <c r="D16" s="57"/>
    </row>
    <row r="17" spans="2:4" x14ac:dyDescent="0.35">
      <c r="B17" s="55" t="s">
        <v>167</v>
      </c>
      <c r="C17" s="61">
        <f>+'BS_20-22'!F33+'BS_20-22'!F23</f>
        <v>5940000</v>
      </c>
      <c r="D17" s="57"/>
    </row>
    <row r="18" spans="2:4" x14ac:dyDescent="0.35">
      <c r="B18" s="55" t="s">
        <v>160</v>
      </c>
      <c r="C18" s="61">
        <f>+'BS_20-22'!F35+'BS_20-22'!F25</f>
        <v>2310000</v>
      </c>
      <c r="D18" s="57"/>
    </row>
    <row r="19" spans="2:4" x14ac:dyDescent="0.35">
      <c r="B19" s="55" t="s">
        <v>198</v>
      </c>
      <c r="C19" s="61">
        <f>-'BS_20-22'!F5</f>
        <v>-1510000</v>
      </c>
      <c r="D19" s="57"/>
    </row>
    <row r="20" spans="2:4" x14ac:dyDescent="0.35">
      <c r="B20" s="55" t="s">
        <v>199</v>
      </c>
      <c r="C20" s="61">
        <f>+'BS_20-22'!F24+'BS_20-22'!F34-'BS_20-22'!F6</f>
        <v>3170000</v>
      </c>
      <c r="D20" s="57"/>
    </row>
    <row r="21" spans="2:4" x14ac:dyDescent="0.35">
      <c r="B21" s="55" t="s">
        <v>200</v>
      </c>
      <c r="C21" s="61">
        <f>+'BS_20-22'!F37</f>
        <v>3420000</v>
      </c>
      <c r="D21" s="57"/>
    </row>
    <row r="22" spans="2:4" ht="16" x14ac:dyDescent="0.5">
      <c r="B22" s="55" t="s">
        <v>197</v>
      </c>
      <c r="C22" s="66">
        <v>0</v>
      </c>
      <c r="D22" s="57"/>
    </row>
    <row r="23" spans="2:4" x14ac:dyDescent="0.35">
      <c r="B23" s="58" t="s">
        <v>202</v>
      </c>
      <c r="C23" s="65">
        <f>SUM(C17:C22)</f>
        <v>13330000</v>
      </c>
      <c r="D23" s="57"/>
    </row>
    <row r="24" spans="2:4" x14ac:dyDescent="0.35">
      <c r="B24" s="58" t="s">
        <v>212</v>
      </c>
      <c r="C24" s="126">
        <f>+C15/C23</f>
        <v>-0.55338834708677176</v>
      </c>
      <c r="D24" s="73" t="str">
        <f>IF(C24&gt;3,"DA","NU")</f>
        <v>NU</v>
      </c>
    </row>
    <row r="25" spans="2:4" x14ac:dyDescent="0.35">
      <c r="B25" s="55"/>
      <c r="C25" s="56"/>
      <c r="D25" s="57"/>
    </row>
    <row r="26" spans="2:4" x14ac:dyDescent="0.35">
      <c r="B26" s="58" t="s">
        <v>206</v>
      </c>
      <c r="C26" s="56"/>
      <c r="D26" s="73" t="s">
        <v>0</v>
      </c>
    </row>
    <row r="27" spans="2:4" x14ac:dyDescent="0.35">
      <c r="B27" s="55"/>
      <c r="C27" s="56"/>
      <c r="D27" s="57"/>
    </row>
    <row r="28" spans="2:4" ht="15" thickBot="1" x14ac:dyDescent="0.4">
      <c r="B28" s="67" t="s">
        <v>210</v>
      </c>
      <c r="C28" s="68"/>
      <c r="D28" s="74" t="str">
        <f>IF(AND(D4="DA",D10="DA",D24="DA",D26="DA")=FALSE, "NU","DA")</f>
        <v>NU</v>
      </c>
    </row>
    <row r="30" spans="2:4" x14ac:dyDescent="0.35">
      <c r="B30" s="123" t="s">
        <v>208</v>
      </c>
      <c r="C30" s="124"/>
      <c r="D30" s="125">
        <f>IF(D28="NU",10000000,15000000)</f>
        <v>10000000</v>
      </c>
    </row>
    <row r="32" spans="2:4" ht="34" customHeight="1" x14ac:dyDescent="0.35">
      <c r="B32" s="178" t="s">
        <v>104</v>
      </c>
      <c r="C32" s="178"/>
    </row>
    <row r="34" spans="2:3" x14ac:dyDescent="0.35">
      <c r="B34" s="76" t="s">
        <v>105</v>
      </c>
      <c r="C34" s="76"/>
    </row>
  </sheetData>
  <mergeCells count="1">
    <mergeCell ref="B32:C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CCA5-CD1A-4250-B0F8-3BF1F8C53CE6}">
  <sheetPr>
    <tabColor rgb="FFC00000"/>
  </sheetPr>
  <dimension ref="B1:F32"/>
  <sheetViews>
    <sheetView zoomScaleNormal="100" workbookViewId="0">
      <selection activeCell="B30" sqref="B30:C32"/>
    </sheetView>
  </sheetViews>
  <sheetFormatPr defaultRowHeight="14.5" x14ac:dyDescent="0.35"/>
  <cols>
    <col min="2" max="2" width="53.26953125" customWidth="1"/>
    <col min="3" max="3" width="17.54296875" customWidth="1"/>
    <col min="4" max="4" width="14.26953125" customWidth="1"/>
  </cols>
  <sheetData>
    <row r="1" spans="2:4" x14ac:dyDescent="0.35">
      <c r="B1" s="123" t="s">
        <v>228</v>
      </c>
      <c r="C1" s="123" t="s">
        <v>213</v>
      </c>
    </row>
    <row r="3" spans="2:4" x14ac:dyDescent="0.35">
      <c r="B3" t="s">
        <v>216</v>
      </c>
      <c r="C3" s="1">
        <f>SUM('Venituri nete_20-22'!H4:H6)</f>
        <v>79170000</v>
      </c>
    </row>
    <row r="4" spans="2:4" ht="16" x14ac:dyDescent="0.5">
      <c r="B4" t="s">
        <v>214</v>
      </c>
      <c r="C4" s="54">
        <f>SUM('Venituri nete_20-22'!H8:H10)</f>
        <v>-1360000</v>
      </c>
      <c r="D4" s="36"/>
    </row>
    <row r="5" spans="2:4" x14ac:dyDescent="0.35">
      <c r="B5" s="121" t="s">
        <v>217</v>
      </c>
      <c r="C5" s="53">
        <f>SUM(C3:C4)</f>
        <v>77810000</v>
      </c>
      <c r="D5" s="36"/>
    </row>
    <row r="6" spans="2:4" x14ac:dyDescent="0.35">
      <c r="B6" t="s">
        <v>195</v>
      </c>
      <c r="C6" s="1">
        <f>SUM('Venituri nete_20-22'!H13:H15)</f>
        <v>103010000</v>
      </c>
      <c r="D6" s="36"/>
    </row>
    <row r="7" spans="2:4" ht="16" x14ac:dyDescent="0.5">
      <c r="B7" t="s">
        <v>215</v>
      </c>
      <c r="C7" s="54">
        <f>SUM('Venituri nete_20-22'!H17:H19)</f>
        <v>-3090000</v>
      </c>
      <c r="D7" s="36"/>
    </row>
    <row r="8" spans="2:4" ht="15" thickBot="1" x14ac:dyDescent="0.4">
      <c r="B8" s="121" t="s">
        <v>218</v>
      </c>
      <c r="C8" s="53">
        <f>SUM(C6:C7)</f>
        <v>99920000</v>
      </c>
      <c r="D8" s="36"/>
    </row>
    <row r="9" spans="2:4" ht="15" thickBot="1" x14ac:dyDescent="0.4">
      <c r="B9" s="121" t="s">
        <v>227</v>
      </c>
      <c r="C9" s="127">
        <f>+C5-C8</f>
        <v>-22110000</v>
      </c>
      <c r="D9" s="36"/>
    </row>
    <row r="10" spans="2:4" ht="15" thickBot="1" x14ac:dyDescent="0.4">
      <c r="B10" s="121"/>
      <c r="C10" s="65"/>
      <c r="D10" s="36"/>
    </row>
    <row r="11" spans="2:4" ht="15" thickBot="1" x14ac:dyDescent="0.4">
      <c r="B11" s="60" t="s">
        <v>226</v>
      </c>
      <c r="C11" s="127">
        <f>+'Abaterea Acceptabila_J.6'!D30</f>
        <v>10000000</v>
      </c>
      <c r="D11" s="36"/>
    </row>
    <row r="12" spans="2:4" x14ac:dyDescent="0.35">
      <c r="B12" s="60"/>
      <c r="C12" s="65"/>
      <c r="D12" s="36"/>
    </row>
    <row r="13" spans="2:4" x14ac:dyDescent="0.35">
      <c r="B13" s="60" t="s">
        <v>225</v>
      </c>
      <c r="C13" s="56"/>
      <c r="D13" s="36"/>
    </row>
    <row r="14" spans="2:4" x14ac:dyDescent="0.35">
      <c r="B14" s="129" t="s">
        <v>222</v>
      </c>
      <c r="C14" s="128">
        <f>+'BS_20-22'!F45-'BS_20-22'!E45</f>
        <v>20000000</v>
      </c>
      <c r="D14" s="36"/>
    </row>
    <row r="15" spans="2:4" ht="15" thickBot="1" x14ac:dyDescent="0.4">
      <c r="B15" s="129" t="s">
        <v>223</v>
      </c>
      <c r="C15" s="61">
        <f>+'BS_20-22'!F50</f>
        <v>-9030000</v>
      </c>
      <c r="D15" s="36"/>
    </row>
    <row r="16" spans="2:4" ht="15" thickBot="1" x14ac:dyDescent="0.4">
      <c r="B16" s="60" t="s">
        <v>224</v>
      </c>
      <c r="C16" s="130">
        <f>MIN(MAX(C15,C14),15000000)</f>
        <v>15000000</v>
      </c>
      <c r="D16" s="36"/>
    </row>
    <row r="17" spans="2:6" ht="15" thickBot="1" x14ac:dyDescent="0.4">
      <c r="B17" s="60"/>
      <c r="C17" s="131"/>
      <c r="D17" s="36"/>
    </row>
    <row r="18" spans="2:6" ht="15" thickBot="1" x14ac:dyDescent="0.4">
      <c r="B18" s="60" t="s">
        <v>230</v>
      </c>
      <c r="C18" s="130">
        <f>+C16+C11</f>
        <v>25000000</v>
      </c>
      <c r="D18" s="36"/>
    </row>
    <row r="19" spans="2:6" ht="15" thickBot="1" x14ac:dyDescent="0.4">
      <c r="D19" s="36"/>
    </row>
    <row r="20" spans="2:6" ht="15" thickBot="1" x14ac:dyDescent="0.4">
      <c r="B20" s="60" t="s">
        <v>229</v>
      </c>
      <c r="C20" s="94">
        <f>+C18+C9</f>
        <v>2890000</v>
      </c>
      <c r="D20" s="36"/>
    </row>
    <row r="21" spans="2:6" x14ac:dyDescent="0.35">
      <c r="D21" s="36"/>
    </row>
    <row r="22" spans="2:6" x14ac:dyDescent="0.35">
      <c r="B22" s="56" t="s">
        <v>219</v>
      </c>
      <c r="C22" s="63">
        <f>+MAX(C14,C15)-C16</f>
        <v>5000000</v>
      </c>
      <c r="D22" s="36"/>
    </row>
    <row r="23" spans="2:6" ht="15" thickBot="1" x14ac:dyDescent="0.4">
      <c r="B23" t="s">
        <v>220</v>
      </c>
      <c r="C23" s="1">
        <f>+'Venituri nete_20-22'!H30</f>
        <v>6690000</v>
      </c>
      <c r="D23" s="36"/>
    </row>
    <row r="24" spans="2:6" ht="15" thickBot="1" x14ac:dyDescent="0.4">
      <c r="B24" s="121" t="s">
        <v>221</v>
      </c>
      <c r="C24" s="130">
        <f>MIN(C23,C22)</f>
        <v>5000000</v>
      </c>
      <c r="D24" s="36"/>
    </row>
    <row r="25" spans="2:6" ht="15" thickBot="1" x14ac:dyDescent="0.4">
      <c r="D25" s="36"/>
    </row>
    <row r="26" spans="2:6" ht="15" thickBot="1" x14ac:dyDescent="0.4">
      <c r="B26" s="121" t="s">
        <v>231</v>
      </c>
      <c r="C26" s="94">
        <f>+MIN(C20+C24,0)</f>
        <v>0</v>
      </c>
      <c r="D26" s="36"/>
    </row>
    <row r="27" spans="2:6" x14ac:dyDescent="0.35">
      <c r="D27" s="36"/>
    </row>
    <row r="28" spans="2:6" x14ac:dyDescent="0.35">
      <c r="B28" s="133" t="s">
        <v>232</v>
      </c>
      <c r="C28" s="132" t="str">
        <f>IF(C26&lt;0,"NU","DA")</f>
        <v>DA</v>
      </c>
      <c r="D28" s="36"/>
    </row>
    <row r="29" spans="2:6" x14ac:dyDescent="0.35">
      <c r="D29" s="36"/>
    </row>
    <row r="30" spans="2:6" ht="29" customHeight="1" x14ac:dyDescent="0.35">
      <c r="B30" s="178" t="s">
        <v>104</v>
      </c>
      <c r="C30" s="178"/>
      <c r="D30" s="75"/>
      <c r="E30" s="75"/>
      <c r="F30" s="75"/>
    </row>
    <row r="32" spans="2:6" x14ac:dyDescent="0.35">
      <c r="B32" s="76" t="s">
        <v>105</v>
      </c>
      <c r="C32" s="76"/>
      <c r="D32" s="76"/>
      <c r="E32" s="76"/>
      <c r="F32" s="76"/>
    </row>
  </sheetData>
  <mergeCells count="1">
    <mergeCell ref="B30:C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CFC6-5616-4B3D-9716-A60630172420}">
  <sheetPr>
    <tabColor rgb="FFC00000"/>
    <pageSetUpPr fitToPage="1"/>
  </sheetPr>
  <dimension ref="B1:H44"/>
  <sheetViews>
    <sheetView zoomScaleNormal="100" workbookViewId="0">
      <selection activeCell="B18" sqref="B18"/>
    </sheetView>
  </sheetViews>
  <sheetFormatPr defaultRowHeight="14.5" x14ac:dyDescent="0.35"/>
  <cols>
    <col min="2" max="2" width="64.90625" bestFit="1" customWidth="1"/>
    <col min="3" max="3" width="17.54296875" customWidth="1"/>
    <col min="4" max="4" width="16.36328125" customWidth="1"/>
    <col min="5" max="5" width="11.36328125" customWidth="1"/>
    <col min="6" max="6" width="8.54296875" bestFit="1" customWidth="1"/>
    <col min="7" max="7" width="10.7265625" bestFit="1" customWidth="1"/>
    <col min="8" max="8" width="8.54296875" bestFit="1" customWidth="1"/>
  </cols>
  <sheetData>
    <row r="1" spans="2:8" x14ac:dyDescent="0.35">
      <c r="B1" s="123" t="s">
        <v>228</v>
      </c>
      <c r="C1" s="123" t="s">
        <v>213</v>
      </c>
    </row>
    <row r="3" spans="2:8" x14ac:dyDescent="0.35">
      <c r="B3" t="s">
        <v>240</v>
      </c>
    </row>
    <row r="4" spans="2:8" x14ac:dyDescent="0.35">
      <c r="B4" s="134" t="s">
        <v>238</v>
      </c>
      <c r="C4" s="1">
        <f>-'CPP_20-22'!F63</f>
        <v>12980000</v>
      </c>
    </row>
    <row r="5" spans="2:8" x14ac:dyDescent="0.35">
      <c r="B5" s="134" t="s">
        <v>239</v>
      </c>
      <c r="C5" s="1">
        <f>-'CPP_20-22'!F67</f>
        <v>960000</v>
      </c>
    </row>
    <row r="6" spans="2:8" x14ac:dyDescent="0.35">
      <c r="B6" t="s">
        <v>233</v>
      </c>
      <c r="C6" s="122">
        <v>0</v>
      </c>
    </row>
    <row r="7" spans="2:8" ht="15" thickBot="1" x14ac:dyDescent="0.4">
      <c r="B7" t="s">
        <v>234</v>
      </c>
      <c r="C7" s="122">
        <v>0</v>
      </c>
    </row>
    <row r="8" spans="2:8" ht="15" thickBot="1" x14ac:dyDescent="0.4">
      <c r="B8" s="121" t="s">
        <v>235</v>
      </c>
      <c r="C8" s="135">
        <f>SUM(C3:C7)</f>
        <v>13940000</v>
      </c>
    </row>
    <row r="10" spans="2:8" x14ac:dyDescent="0.35">
      <c r="B10" t="s">
        <v>241</v>
      </c>
      <c r="C10" s="1">
        <f>+'Venituri nete_20-22'!F4+'Venituri nete_20-22'!F8</f>
        <v>28470000</v>
      </c>
      <c r="E10" s="137" t="s">
        <v>243</v>
      </c>
      <c r="F10" s="138">
        <v>2020</v>
      </c>
      <c r="G10" s="138">
        <v>2021</v>
      </c>
      <c r="H10" s="138">
        <v>2022</v>
      </c>
    </row>
    <row r="11" spans="2:8" ht="15" thickBot="1" x14ac:dyDescent="0.4">
      <c r="B11" t="s">
        <v>236</v>
      </c>
      <c r="C11" s="1">
        <f>IF(E11=12,H11,IF(E11=24,AVERAGE(G11:H11),AVERAGE(F11:H11)))</f>
        <v>770000</v>
      </c>
      <c r="E11" s="138">
        <v>12</v>
      </c>
      <c r="F11" s="139">
        <f>+'Venituri nete_20-22'!D5</f>
        <v>370000</v>
      </c>
      <c r="G11" s="139">
        <f>+'Venituri nete_20-22'!E5</f>
        <v>-1200000</v>
      </c>
      <c r="H11" s="139">
        <f>+'Venituri nete_20-22'!F5</f>
        <v>770000</v>
      </c>
    </row>
    <row r="12" spans="2:8" ht="15" thickBot="1" x14ac:dyDescent="0.4">
      <c r="B12" s="121" t="s">
        <v>237</v>
      </c>
      <c r="C12" s="135">
        <f>SUM(C10:C11)</f>
        <v>29240000</v>
      </c>
    </row>
    <row r="14" spans="2:8" x14ac:dyDescent="0.35">
      <c r="B14" s="123" t="s">
        <v>242</v>
      </c>
      <c r="C14" s="136">
        <f>+C8/C12</f>
        <v>0.47674418604651164</v>
      </c>
    </row>
    <row r="16" spans="2:8" ht="30.5" customHeight="1" x14ac:dyDescent="0.35">
      <c r="B16" s="178" t="s">
        <v>104</v>
      </c>
      <c r="C16" s="178"/>
      <c r="D16" s="75"/>
      <c r="E16" s="75"/>
      <c r="F16" s="75"/>
    </row>
    <row r="17" spans="2:6" x14ac:dyDescent="0.35">
      <c r="D17" s="75"/>
      <c r="E17" s="75"/>
      <c r="F17" s="75"/>
    </row>
    <row r="18" spans="2:6" x14ac:dyDescent="0.35">
      <c r="B18" s="76" t="s">
        <v>105</v>
      </c>
      <c r="C18" s="76"/>
      <c r="D18" s="36"/>
    </row>
    <row r="19" spans="2:6" x14ac:dyDescent="0.35">
      <c r="D19" s="36"/>
    </row>
    <row r="20" spans="2:6" x14ac:dyDescent="0.35">
      <c r="D20" s="36"/>
    </row>
    <row r="21" spans="2:6" x14ac:dyDescent="0.35">
      <c r="D21" s="36"/>
    </row>
    <row r="22" spans="2:6" x14ac:dyDescent="0.35">
      <c r="D22" s="36"/>
    </row>
    <row r="23" spans="2:6" x14ac:dyDescent="0.35">
      <c r="D23" s="36"/>
    </row>
    <row r="24" spans="2:6" x14ac:dyDescent="0.35">
      <c r="D24" s="36"/>
    </row>
    <row r="25" spans="2:6" x14ac:dyDescent="0.35">
      <c r="D25" s="36"/>
    </row>
    <row r="26" spans="2:6" x14ac:dyDescent="0.35">
      <c r="D26" s="36"/>
    </row>
    <row r="27" spans="2:6" x14ac:dyDescent="0.35">
      <c r="D27" s="36"/>
    </row>
    <row r="28" spans="2:6" x14ac:dyDescent="0.35">
      <c r="D28" s="36"/>
    </row>
    <row r="29" spans="2:6" x14ac:dyDescent="0.35">
      <c r="D29" s="36"/>
    </row>
    <row r="30" spans="2:6" x14ac:dyDescent="0.35">
      <c r="D30" s="36"/>
    </row>
    <row r="31" spans="2:6" x14ac:dyDescent="0.35">
      <c r="D31" s="36"/>
    </row>
    <row r="32" spans="2:6" x14ac:dyDescent="0.35">
      <c r="D32" s="36"/>
    </row>
    <row r="33" spans="4:4" x14ac:dyDescent="0.35">
      <c r="D33" s="36"/>
    </row>
    <row r="34" spans="4:4" x14ac:dyDescent="0.35">
      <c r="D34" s="36"/>
    </row>
    <row r="35" spans="4:4" x14ac:dyDescent="0.35">
      <c r="D35" s="36"/>
    </row>
    <row r="36" spans="4:4" x14ac:dyDescent="0.35">
      <c r="D36" s="36"/>
    </row>
    <row r="37" spans="4:4" x14ac:dyDescent="0.35">
      <c r="D37" s="36"/>
    </row>
    <row r="38" spans="4:4" x14ac:dyDescent="0.35">
      <c r="D38" s="36"/>
    </row>
    <row r="39" spans="4:4" x14ac:dyDescent="0.35">
      <c r="D39" s="36"/>
    </row>
    <row r="40" spans="4:4" x14ac:dyDescent="0.35">
      <c r="D40" s="36"/>
    </row>
    <row r="41" spans="4:4" x14ac:dyDescent="0.35">
      <c r="D41" s="36"/>
    </row>
    <row r="42" spans="4:4" x14ac:dyDescent="0.35">
      <c r="D42" s="36"/>
    </row>
    <row r="43" spans="4:4" x14ac:dyDescent="0.35">
      <c r="D43" s="36"/>
    </row>
    <row r="44" spans="4:4" x14ac:dyDescent="0.35">
      <c r="D44" s="36"/>
    </row>
  </sheetData>
  <mergeCells count="1">
    <mergeCell ref="B16:C1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2CC33-3B87-402F-8AC4-B79081E41001}">
  <sheetPr>
    <tabColor theme="4" tint="-0.499984740745262"/>
  </sheetPr>
  <dimension ref="B1:H51"/>
  <sheetViews>
    <sheetView tabSelected="1" zoomScale="85" zoomScaleNormal="85" workbookViewId="0">
      <selection activeCell="E25" sqref="E25"/>
    </sheetView>
  </sheetViews>
  <sheetFormatPr defaultRowHeight="14.5" x14ac:dyDescent="0.35"/>
  <cols>
    <col min="2" max="2" width="21.90625" bestFit="1" customWidth="1"/>
    <col min="3" max="3" width="16.81640625" bestFit="1" customWidth="1"/>
    <col min="4" max="5" width="16" customWidth="1"/>
    <col min="6" max="6" width="16.90625" customWidth="1"/>
    <col min="7" max="8" width="17.453125" customWidth="1"/>
  </cols>
  <sheetData>
    <row r="1" spans="2:8" ht="14.5" customHeight="1" x14ac:dyDescent="0.35"/>
    <row r="2" spans="2:8" ht="15" thickBot="1" x14ac:dyDescent="0.4"/>
    <row r="3" spans="2:8" ht="39" customHeight="1" x14ac:dyDescent="0.35">
      <c r="B3" s="180" t="s">
        <v>247</v>
      </c>
      <c r="C3" s="182" t="s">
        <v>256</v>
      </c>
      <c r="D3" s="184" t="s">
        <v>248</v>
      </c>
      <c r="E3" s="186" t="s">
        <v>249</v>
      </c>
      <c r="F3" s="188" t="s">
        <v>265</v>
      </c>
      <c r="G3" s="189"/>
      <c r="H3" s="190"/>
    </row>
    <row r="4" spans="2:8" ht="15" thickBot="1" x14ac:dyDescent="0.4">
      <c r="B4" s="181"/>
      <c r="C4" s="183"/>
      <c r="D4" s="185"/>
      <c r="E4" s="187"/>
      <c r="F4" s="204">
        <v>2020</v>
      </c>
      <c r="G4" s="205">
        <v>2021</v>
      </c>
      <c r="H4" s="206">
        <v>2022</v>
      </c>
    </row>
    <row r="5" spans="2:8" ht="15" thickBot="1" x14ac:dyDescent="0.4">
      <c r="B5" s="165" t="s">
        <v>250</v>
      </c>
      <c r="C5" s="147" t="s">
        <v>251</v>
      </c>
      <c r="D5" s="146" t="s">
        <v>252</v>
      </c>
      <c r="E5" s="168" t="s">
        <v>253</v>
      </c>
      <c r="F5" s="177" t="s">
        <v>257</v>
      </c>
      <c r="G5" s="148" t="s">
        <v>258</v>
      </c>
      <c r="H5" s="167" t="s">
        <v>259</v>
      </c>
    </row>
    <row r="6" spans="2:8" x14ac:dyDescent="0.35">
      <c r="B6" s="152"/>
      <c r="C6" s="160"/>
      <c r="D6" s="160"/>
      <c r="E6" s="153"/>
      <c r="F6" s="152"/>
      <c r="G6" s="160"/>
      <c r="H6" s="153"/>
    </row>
    <row r="7" spans="2:8" x14ac:dyDescent="0.35">
      <c r="B7" s="169" t="s">
        <v>255</v>
      </c>
      <c r="C7" s="161"/>
      <c r="D7" s="161"/>
      <c r="E7" s="155"/>
      <c r="F7" s="154"/>
      <c r="G7" s="161"/>
      <c r="H7" s="155"/>
    </row>
    <row r="8" spans="2:8" x14ac:dyDescent="0.35">
      <c r="B8" s="152"/>
      <c r="C8" s="160"/>
      <c r="D8" s="162"/>
      <c r="E8" s="170"/>
      <c r="F8" s="152"/>
      <c r="G8" s="160"/>
      <c r="H8" s="153"/>
    </row>
    <row r="9" spans="2:8" x14ac:dyDescent="0.35">
      <c r="B9" s="152"/>
      <c r="C9" s="160"/>
      <c r="D9" s="162"/>
      <c r="E9" s="170"/>
      <c r="F9" s="152"/>
      <c r="G9" s="160"/>
      <c r="H9" s="153"/>
    </row>
    <row r="10" spans="2:8" x14ac:dyDescent="0.35">
      <c r="B10" s="152"/>
      <c r="C10" s="160"/>
      <c r="D10" s="162"/>
      <c r="E10" s="170"/>
      <c r="F10" s="152"/>
      <c r="G10" s="160"/>
      <c r="H10" s="153"/>
    </row>
    <row r="11" spans="2:8" ht="15" thickBot="1" x14ac:dyDescent="0.4">
      <c r="B11" s="152"/>
      <c r="C11" s="160"/>
      <c r="D11" s="162"/>
      <c r="E11" s="170"/>
      <c r="F11" s="152"/>
      <c r="G11" s="160"/>
      <c r="H11" s="153"/>
    </row>
    <row r="12" spans="2:8" ht="15" thickBot="1" x14ac:dyDescent="0.4">
      <c r="B12" s="149" t="s">
        <v>262</v>
      </c>
      <c r="C12" s="166"/>
      <c r="D12" s="163"/>
      <c r="E12" s="171"/>
      <c r="F12" s="156">
        <f>SUM(F8:F11)</f>
        <v>0</v>
      </c>
      <c r="G12" s="176">
        <f>SUM(G8:G11)</f>
        <v>0</v>
      </c>
      <c r="H12" s="157">
        <f>SUM(H8:H11)</f>
        <v>0</v>
      </c>
    </row>
    <row r="13" spans="2:8" x14ac:dyDescent="0.35">
      <c r="B13" s="152"/>
      <c r="C13" s="160"/>
      <c r="D13" s="162"/>
      <c r="E13" s="170"/>
      <c r="F13" s="152"/>
      <c r="G13" s="160"/>
      <c r="H13" s="153"/>
    </row>
    <row r="14" spans="2:8" x14ac:dyDescent="0.35">
      <c r="B14" s="169" t="s">
        <v>254</v>
      </c>
      <c r="C14" s="161"/>
      <c r="D14" s="164"/>
      <c r="E14" s="172"/>
      <c r="F14" s="154"/>
      <c r="G14" s="161"/>
      <c r="H14" s="155"/>
    </row>
    <row r="15" spans="2:8" x14ac:dyDescent="0.35">
      <c r="B15" s="152"/>
      <c r="C15" s="160"/>
      <c r="D15" s="162"/>
      <c r="E15" s="170"/>
      <c r="F15" s="152"/>
      <c r="G15" s="160"/>
      <c r="H15" s="153"/>
    </row>
    <row r="16" spans="2:8" x14ac:dyDescent="0.35">
      <c r="B16" s="152"/>
      <c r="C16" s="160"/>
      <c r="D16" s="162"/>
      <c r="E16" s="170"/>
      <c r="F16" s="152"/>
      <c r="G16" s="160"/>
      <c r="H16" s="153"/>
    </row>
    <row r="17" spans="2:8" x14ac:dyDescent="0.35">
      <c r="B17" s="152"/>
      <c r="C17" s="160"/>
      <c r="D17" s="162"/>
      <c r="E17" s="170"/>
      <c r="F17" s="152"/>
      <c r="G17" s="160"/>
      <c r="H17" s="153"/>
    </row>
    <row r="18" spans="2:8" ht="15" thickBot="1" x14ac:dyDescent="0.4">
      <c r="B18" s="152"/>
      <c r="C18" s="160"/>
      <c r="D18" s="162"/>
      <c r="E18" s="170"/>
      <c r="F18" s="152"/>
      <c r="G18" s="160"/>
      <c r="H18" s="153"/>
    </row>
    <row r="19" spans="2:8" ht="15" thickBot="1" x14ac:dyDescent="0.4">
      <c r="B19" s="149" t="s">
        <v>263</v>
      </c>
      <c r="C19" s="166"/>
      <c r="D19" s="163"/>
      <c r="E19" s="171"/>
      <c r="F19" s="156">
        <f>SUM(F15:F18)</f>
        <v>0</v>
      </c>
      <c r="G19" s="176">
        <f>SUM(G15:G18)</f>
        <v>0</v>
      </c>
      <c r="H19" s="157">
        <f>SUM(H15:H18)</f>
        <v>0</v>
      </c>
    </row>
    <row r="20" spans="2:8" ht="15" thickBot="1" x14ac:dyDescent="0.4">
      <c r="B20" s="152"/>
      <c r="C20" s="160"/>
      <c r="D20" s="162"/>
      <c r="E20" s="170"/>
      <c r="F20" s="152"/>
      <c r="G20" s="160"/>
      <c r="H20" s="153"/>
    </row>
    <row r="21" spans="2:8" ht="15" thickBot="1" x14ac:dyDescent="0.4">
      <c r="B21" s="149" t="s">
        <v>264</v>
      </c>
      <c r="C21" s="166"/>
      <c r="D21" s="163"/>
      <c r="E21" s="171"/>
      <c r="F21" s="156">
        <f>+F19+F12</f>
        <v>0</v>
      </c>
      <c r="G21" s="176">
        <f>+G19+G12</f>
        <v>0</v>
      </c>
      <c r="H21" s="157">
        <f>+H19+H12</f>
        <v>0</v>
      </c>
    </row>
    <row r="22" spans="2:8" x14ac:dyDescent="0.35">
      <c r="B22" s="192"/>
      <c r="C22" s="193"/>
      <c r="D22" s="194"/>
      <c r="E22" s="195" t="s">
        <v>269</v>
      </c>
      <c r="F22" s="191">
        <f>+F21-'Venituri nete_20-22'!D82-'Venituri nete_20-22'!D83</f>
        <v>-17850000</v>
      </c>
      <c r="G22" s="191">
        <f>+G21-'Venituri nete_20-22'!E82-'Venituri nete_20-22'!E83</f>
        <v>-16000000</v>
      </c>
      <c r="H22" s="196">
        <f>+H21-'Venituri nete_20-22'!F82-'Venituri nete_20-22'!F83</f>
        <v>-12980000</v>
      </c>
    </row>
    <row r="23" spans="2:8" x14ac:dyDescent="0.35">
      <c r="B23" s="169" t="s">
        <v>239</v>
      </c>
      <c r="C23" s="161"/>
      <c r="D23" s="164"/>
      <c r="E23" s="172"/>
      <c r="F23" s="154"/>
      <c r="G23" s="161"/>
      <c r="H23" s="155"/>
    </row>
    <row r="24" spans="2:8" x14ac:dyDescent="0.35">
      <c r="B24" s="152"/>
      <c r="C24" s="160"/>
      <c r="D24" s="162"/>
      <c r="E24" s="170"/>
      <c r="F24" s="152"/>
      <c r="G24" s="160"/>
      <c r="H24" s="153"/>
    </row>
    <row r="25" spans="2:8" x14ac:dyDescent="0.35">
      <c r="B25" s="152"/>
      <c r="C25" s="160"/>
      <c r="D25" s="162"/>
      <c r="E25" s="170"/>
      <c r="F25" s="152"/>
      <c r="G25" s="160"/>
      <c r="H25" s="153"/>
    </row>
    <row r="26" spans="2:8" x14ac:dyDescent="0.35">
      <c r="B26" s="152"/>
      <c r="C26" s="160"/>
      <c r="D26" s="162"/>
      <c r="E26" s="170"/>
      <c r="F26" s="152"/>
      <c r="G26" s="160"/>
      <c r="H26" s="153"/>
    </row>
    <row r="27" spans="2:8" ht="15" thickBot="1" x14ac:dyDescent="0.4">
      <c r="B27" s="152"/>
      <c r="C27" s="160"/>
      <c r="D27" s="162"/>
      <c r="E27" s="170"/>
      <c r="F27" s="152"/>
      <c r="G27" s="160"/>
      <c r="H27" s="153"/>
    </row>
    <row r="28" spans="2:8" ht="15" thickBot="1" x14ac:dyDescent="0.4">
      <c r="B28" s="149" t="s">
        <v>260</v>
      </c>
      <c r="C28" s="166"/>
      <c r="D28" s="163"/>
      <c r="E28" s="171"/>
      <c r="F28" s="156">
        <f>SUM(F24:F27)</f>
        <v>0</v>
      </c>
      <c r="G28" s="176">
        <f>SUM(G24:G27)</f>
        <v>0</v>
      </c>
      <c r="H28" s="157">
        <f>SUM(H24:H27)</f>
        <v>0</v>
      </c>
    </row>
    <row r="29" spans="2:8" ht="15" thickBot="1" x14ac:dyDescent="0.4">
      <c r="B29" s="192"/>
      <c r="C29" s="193"/>
      <c r="D29" s="194"/>
      <c r="E29" s="195" t="s">
        <v>269</v>
      </c>
      <c r="F29" s="191">
        <f>+F28-'Venituri nete_20-22'!D83</f>
        <v>-1300000</v>
      </c>
      <c r="G29" s="191">
        <f>+G28-'Venituri nete_20-22'!E83</f>
        <v>-900000</v>
      </c>
      <c r="H29" s="196">
        <f>+H28-'Venituri nete_20-22'!F83</f>
        <v>-1150000</v>
      </c>
    </row>
    <row r="30" spans="2:8" ht="15" thickBot="1" x14ac:dyDescent="0.4">
      <c r="B30" s="151" t="s">
        <v>261</v>
      </c>
      <c r="C30" s="173"/>
      <c r="D30" s="174"/>
      <c r="E30" s="175"/>
      <c r="F30" s="158">
        <f>+F28+F19+F12</f>
        <v>0</v>
      </c>
      <c r="G30" s="173">
        <f>+G28+G19+G12</f>
        <v>0</v>
      </c>
      <c r="H30" s="159">
        <f>+H28+H19+H12</f>
        <v>0</v>
      </c>
    </row>
    <row r="31" spans="2:8" x14ac:dyDescent="0.35">
      <c r="B31" s="169" t="s">
        <v>266</v>
      </c>
      <c r="C31" s="161"/>
      <c r="D31" s="164"/>
      <c r="E31" s="172"/>
      <c r="F31" s="154"/>
      <c r="G31" s="161"/>
      <c r="H31" s="155"/>
    </row>
    <row r="32" spans="2:8" x14ac:dyDescent="0.35">
      <c r="B32" s="152"/>
      <c r="C32" s="160"/>
      <c r="D32" s="162"/>
      <c r="E32" s="170"/>
      <c r="F32" s="152"/>
      <c r="G32" s="160"/>
      <c r="H32" s="153"/>
    </row>
    <row r="33" spans="2:8" x14ac:dyDescent="0.35">
      <c r="B33" s="152"/>
      <c r="C33" s="160"/>
      <c r="D33" s="162"/>
      <c r="E33" s="170"/>
      <c r="F33" s="152"/>
      <c r="G33" s="160"/>
      <c r="H33" s="153"/>
    </row>
    <row r="34" spans="2:8" x14ac:dyDescent="0.35">
      <c r="B34" s="152"/>
      <c r="C34" s="160"/>
      <c r="D34" s="162"/>
      <c r="E34" s="170"/>
      <c r="F34" s="152"/>
      <c r="G34" s="160"/>
      <c r="H34" s="153"/>
    </row>
    <row r="35" spans="2:8" ht="15" thickBot="1" x14ac:dyDescent="0.4">
      <c r="B35" s="152"/>
      <c r="C35" s="160"/>
      <c r="D35" s="162"/>
      <c r="E35" s="170"/>
      <c r="F35" s="152"/>
      <c r="G35" s="160"/>
      <c r="H35" s="153"/>
    </row>
    <row r="36" spans="2:8" ht="15" thickBot="1" x14ac:dyDescent="0.4">
      <c r="B36" s="149" t="s">
        <v>267</v>
      </c>
      <c r="C36" s="166"/>
      <c r="D36" s="163"/>
      <c r="E36" s="171"/>
      <c r="F36" s="156">
        <f>SUM(F32:F35)</f>
        <v>0</v>
      </c>
      <c r="G36" s="176">
        <f>SUM(G32:G35)</f>
        <v>0</v>
      </c>
      <c r="H36" s="157">
        <f>SUM(H32:H35)</f>
        <v>0</v>
      </c>
    </row>
    <row r="37" spans="2:8" x14ac:dyDescent="0.35">
      <c r="B37" s="192"/>
      <c r="C37" s="193"/>
      <c r="D37" s="194"/>
      <c r="E37" s="195" t="s">
        <v>269</v>
      </c>
      <c r="F37" s="191">
        <f>+F36-'Venituri nete_20-22'!D85</f>
        <v>-700000</v>
      </c>
      <c r="G37" s="191">
        <f>+G36-'Venituri nete_20-22'!E85</f>
        <v>-700000</v>
      </c>
      <c r="H37" s="196">
        <f>+H36-'Venituri nete_20-22'!F85</f>
        <v>-700000</v>
      </c>
    </row>
    <row r="38" spans="2:8" x14ac:dyDescent="0.35">
      <c r="B38" s="169" t="s">
        <v>125</v>
      </c>
      <c r="C38" s="161"/>
      <c r="D38" s="164"/>
      <c r="E38" s="172"/>
      <c r="F38" s="154"/>
      <c r="G38" s="161"/>
      <c r="H38" s="155"/>
    </row>
    <row r="39" spans="2:8" x14ac:dyDescent="0.35">
      <c r="B39" s="152"/>
      <c r="C39" s="160"/>
      <c r="D39" s="162"/>
      <c r="E39" s="170"/>
      <c r="F39" s="152"/>
      <c r="G39" s="160"/>
      <c r="H39" s="153"/>
    </row>
    <row r="40" spans="2:8" x14ac:dyDescent="0.35">
      <c r="B40" s="152"/>
      <c r="C40" s="160"/>
      <c r="D40" s="162"/>
      <c r="E40" s="170"/>
      <c r="F40" s="152"/>
      <c r="G40" s="160"/>
      <c r="H40" s="153"/>
    </row>
    <row r="41" spans="2:8" x14ac:dyDescent="0.35">
      <c r="B41" s="152"/>
      <c r="C41" s="160"/>
      <c r="D41" s="162"/>
      <c r="E41" s="170"/>
      <c r="F41" s="152"/>
      <c r="G41" s="160"/>
      <c r="H41" s="153"/>
    </row>
    <row r="42" spans="2:8" ht="15" thickBot="1" x14ac:dyDescent="0.4">
      <c r="B42" s="152"/>
      <c r="C42" s="160"/>
      <c r="D42" s="162"/>
      <c r="E42" s="170"/>
      <c r="F42" s="152"/>
      <c r="G42" s="160"/>
      <c r="H42" s="153"/>
    </row>
    <row r="43" spans="2:8" ht="15" thickBot="1" x14ac:dyDescent="0.4">
      <c r="B43" s="149" t="s">
        <v>268</v>
      </c>
      <c r="C43" s="166"/>
      <c r="D43" s="163"/>
      <c r="E43" s="171"/>
      <c r="F43" s="156">
        <f>SUM(F39:F42)</f>
        <v>0</v>
      </c>
      <c r="G43" s="176">
        <f>SUM(G39:G42)</f>
        <v>0</v>
      </c>
      <c r="H43" s="157">
        <f>SUM(H39:H42)</f>
        <v>0</v>
      </c>
    </row>
    <row r="44" spans="2:8" ht="15" thickBot="1" x14ac:dyDescent="0.4">
      <c r="B44" s="192"/>
      <c r="C44" s="193"/>
      <c r="D44" s="194"/>
      <c r="E44" s="195" t="s">
        <v>269</v>
      </c>
      <c r="F44" s="191">
        <f>+F43-'Venituri nete_20-22'!D86</f>
        <v>-50000</v>
      </c>
      <c r="G44" s="191">
        <f>+G43-'Venituri nete_20-22'!E86</f>
        <v>-50000</v>
      </c>
      <c r="H44" s="196">
        <f>+H43-'Venituri nete_20-22'!F86</f>
        <v>-50000</v>
      </c>
    </row>
    <row r="45" spans="2:8" ht="15" thickBot="1" x14ac:dyDescent="0.4">
      <c r="B45" s="149" t="s">
        <v>270</v>
      </c>
      <c r="C45" s="166"/>
      <c r="D45" s="163"/>
      <c r="E45" s="171"/>
      <c r="F45" s="156">
        <v>0</v>
      </c>
      <c r="G45" s="176">
        <v>0</v>
      </c>
      <c r="H45" s="157">
        <v>0</v>
      </c>
    </row>
    <row r="46" spans="2:8" ht="15" thickBot="1" x14ac:dyDescent="0.4">
      <c r="B46" s="151" t="s">
        <v>271</v>
      </c>
      <c r="C46" s="173"/>
      <c r="D46" s="174"/>
      <c r="E46" s="175"/>
      <c r="F46" s="158">
        <f>+F45+F43+F36+F30</f>
        <v>0</v>
      </c>
      <c r="G46" s="158">
        <f>+G45+G43+G36+G30</f>
        <v>0</v>
      </c>
      <c r="H46" s="197">
        <f>+H45+H43+H36+H30</f>
        <v>0</v>
      </c>
    </row>
    <row r="47" spans="2:8" ht="15" thickBot="1" x14ac:dyDescent="0.4">
      <c r="B47" s="198"/>
      <c r="C47" s="199"/>
      <c r="D47" s="200"/>
      <c r="E47" s="201" t="s">
        <v>269</v>
      </c>
      <c r="F47" s="202">
        <f>+F46+'Venituri nete_20-22'!D49</f>
        <v>-25290000</v>
      </c>
      <c r="G47" s="202">
        <f>+G46+'Venituri nete_20-22'!E49</f>
        <v>-23500000</v>
      </c>
      <c r="H47" s="203">
        <f>+H46+'Venituri nete_20-22'!F49</f>
        <v>-19500000</v>
      </c>
    </row>
    <row r="48" spans="2:8" x14ac:dyDescent="0.35">
      <c r="H48" s="150"/>
    </row>
    <row r="49" spans="2:8" ht="16.5" customHeight="1" x14ac:dyDescent="0.35">
      <c r="B49" s="178" t="s">
        <v>104</v>
      </c>
      <c r="C49" s="178"/>
      <c r="D49" s="178"/>
      <c r="E49" s="178"/>
      <c r="F49" s="178"/>
      <c r="G49" s="178"/>
      <c r="H49" s="178"/>
    </row>
    <row r="51" spans="2:8" x14ac:dyDescent="0.35">
      <c r="B51" s="76" t="s">
        <v>105</v>
      </c>
      <c r="C51" s="76"/>
    </row>
  </sheetData>
  <mergeCells count="6">
    <mergeCell ref="B49:H49"/>
    <mergeCell ref="B3:B4"/>
    <mergeCell ref="C3:C4"/>
    <mergeCell ref="D3:D4"/>
    <mergeCell ref="E3:E4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CPP_20-22</vt:lpstr>
      <vt:lpstr>BS_20-22</vt:lpstr>
      <vt:lpstr>Venituri nete_20-22</vt:lpstr>
      <vt:lpstr>Abaterea Acceptabila_J.6</vt:lpstr>
      <vt:lpstr>Regula Veniturilor Nete</vt:lpstr>
      <vt:lpstr>Controlul costurilor</vt:lpstr>
      <vt:lpstr>Info Beneficii angajati</vt:lpstr>
      <vt:lpstr>'Abaterea Acceptabila_J.6'!Print_Area</vt:lpstr>
      <vt:lpstr>'BS_20-22'!Print_Area</vt:lpstr>
      <vt:lpstr>'Controlul costurilor'!Print_Area</vt:lpstr>
      <vt:lpstr>'CPP_20-22'!Print_Area</vt:lpstr>
      <vt:lpstr>'Regula Veniturilor Nete'!Print_Area</vt:lpstr>
      <vt:lpstr>'Venituri nete_20-22'!Print_Area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Iliescu</dc:creator>
  <cp:lastModifiedBy>Cristian Iliescu</cp:lastModifiedBy>
  <cp:lastPrinted>2023-05-23T05:58:32Z</cp:lastPrinted>
  <dcterms:created xsi:type="dcterms:W3CDTF">2023-05-21T08:49:38Z</dcterms:created>
  <dcterms:modified xsi:type="dcterms:W3CDTF">2023-05-23T15:00:50Z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5bbb55-ee41-447f-9eaf-d283467a9605_Enabled">
    <vt:lpwstr>true</vt:lpwstr>
  </property>
  <property fmtid="{D5CDD505-2E9C-101B-9397-08002B2CF9AE}" pid="3" name="MSIP_Label_eb5bbb55-ee41-447f-9eaf-d283467a9605_SetDate">
    <vt:lpwstr>2023-05-21T08:49:57Z</vt:lpwstr>
  </property>
  <property fmtid="{D5CDD505-2E9C-101B-9397-08002B2CF9AE}" pid="4" name="MSIP_Label_eb5bbb55-ee41-447f-9eaf-d283467a9605_Method">
    <vt:lpwstr>Standard</vt:lpwstr>
  </property>
  <property fmtid="{D5CDD505-2E9C-101B-9397-08002B2CF9AE}" pid="5" name="MSIP_Label_eb5bbb55-ee41-447f-9eaf-d283467a9605_Name">
    <vt:lpwstr>eb5bbb55-ee41-447f-9eaf-d283467a9605</vt:lpwstr>
  </property>
  <property fmtid="{D5CDD505-2E9C-101B-9397-08002B2CF9AE}" pid="6" name="MSIP_Label_eb5bbb55-ee41-447f-9eaf-d283467a9605_SiteId">
    <vt:lpwstr>7d6af363-bb43-41bc-a6ae-6800af9aa41a</vt:lpwstr>
  </property>
  <property fmtid="{D5CDD505-2E9C-101B-9397-08002B2CF9AE}" pid="7" name="MSIP_Label_eb5bbb55-ee41-447f-9eaf-d283467a9605_ActionId">
    <vt:lpwstr>c0a75a4a-6aa5-4025-98ed-6e7d549d6c02</vt:lpwstr>
  </property>
  <property fmtid="{D5CDD505-2E9C-101B-9397-08002B2CF9AE}" pid="8" name="MSIP_Label_eb5bbb55-ee41-447f-9eaf-d283467a9605_ContentBits">
    <vt:lpwstr>0</vt:lpwstr>
  </property>
</Properties>
</file>